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C_11\Downloads\"/>
    </mc:Choice>
  </mc:AlternateContent>
  <xr:revisionPtr revIDLastSave="0" documentId="13_ncr:1_{F50A4F09-688D-4131-A002-8FE3DDD056C6}" xr6:coauthVersionLast="37" xr6:coauthVersionMax="37" xr10:uidLastSave="{00000000-0000-0000-0000-000000000000}"/>
  <bookViews>
    <workbookView xWindow="0" yWindow="0" windowWidth="24000" windowHeight="8625" tabRatio="980" firstSheet="7" activeTab="7" xr2:uid="{00000000-000D-0000-FFFF-FFFF00000000}"/>
  </bookViews>
  <sheets>
    <sheet name="NACIONAL " sheetId="19" r:id="rId1"/>
    <sheet name="ARICA Y PARINACOTA" sheetId="2" r:id="rId2"/>
    <sheet name="TARAPACA" sheetId="11" r:id="rId3"/>
    <sheet name="ANTOFAGASTA" sheetId="4" r:id="rId4"/>
    <sheet name="ATACAMA" sheetId="5" r:id="rId5"/>
    <sheet name="COQUIMBO" sheetId="6" r:id="rId6"/>
    <sheet name="VALPARAISO" sheetId="12" r:id="rId7"/>
    <sheet name=" O'HIGGINS" sheetId="14" r:id="rId8"/>
    <sheet name="MAULE" sheetId="15" r:id="rId9"/>
    <sheet name="BIOBIO" sheetId="13" r:id="rId10"/>
    <sheet name="DE ÑUBLE" sheetId="20" r:id="rId11"/>
    <sheet name="ARAUCANIA" sheetId="7" r:id="rId12"/>
    <sheet name="LOS RIOS" sheetId="9" r:id="rId13"/>
    <sheet name="LOS LAGOS" sheetId="8" r:id="rId14"/>
    <sheet name="AISEN DEL GRAL. CARLOS IBAÑEZ" sheetId="1" r:id="rId15"/>
    <sheet name="MAGALLANES Y ANTARTICA CH." sheetId="10" r:id="rId16"/>
    <sheet name="METROPOLITANA" sheetId="16" r:id="rId17"/>
    <sheet name="SIN REGION" sheetId="17" r:id="rId18"/>
  </sheets>
  <externalReferences>
    <externalReference r:id="rId19"/>
  </externalReferences>
  <calcPr calcId="162913"/>
</workbook>
</file>

<file path=xl/calcChain.xml><?xml version="1.0" encoding="utf-8"?>
<calcChain xmlns="http://schemas.openxmlformats.org/spreadsheetml/2006/main">
  <c r="I17" i="20" l="1"/>
  <c r="H17" i="20"/>
  <c r="F17" i="20"/>
  <c r="I16" i="20"/>
  <c r="H16" i="20"/>
  <c r="F16" i="20"/>
  <c r="I15" i="20"/>
  <c r="H15" i="20"/>
  <c r="F15" i="20"/>
  <c r="I14" i="20"/>
  <c r="H14" i="20"/>
  <c r="F14" i="20"/>
  <c r="I13" i="20"/>
  <c r="H13" i="20"/>
  <c r="F13" i="20"/>
  <c r="I12" i="20"/>
  <c r="H12" i="20"/>
  <c r="F12" i="20"/>
  <c r="I11" i="20"/>
  <c r="H11" i="20"/>
  <c r="F11" i="20"/>
  <c r="I10" i="20"/>
  <c r="H10" i="20"/>
  <c r="F10" i="20"/>
  <c r="I9" i="20"/>
  <c r="H9" i="20"/>
  <c r="F9" i="20"/>
  <c r="I8" i="20"/>
  <c r="H8" i="20"/>
  <c r="F8" i="20"/>
  <c r="I7" i="20"/>
  <c r="H7" i="20"/>
  <c r="F7" i="20"/>
  <c r="I6" i="20"/>
  <c r="H6" i="20"/>
  <c r="F6" i="20"/>
  <c r="I5" i="20"/>
  <c r="H5" i="20"/>
  <c r="F5" i="20"/>
  <c r="I4" i="20"/>
  <c r="H4" i="20"/>
  <c r="F4" i="20"/>
  <c r="H2" i="20"/>
  <c r="F2" i="20"/>
  <c r="H17" i="19"/>
  <c r="G17" i="19"/>
  <c r="E17" i="19"/>
  <c r="I7" i="17" l="1"/>
  <c r="I8" i="17"/>
  <c r="I9" i="17"/>
  <c r="I10" i="17"/>
  <c r="I11" i="17"/>
  <c r="I12" i="17"/>
  <c r="I13" i="17"/>
  <c r="I14" i="17"/>
  <c r="I15" i="17"/>
  <c r="I16" i="17"/>
  <c r="I17" i="17"/>
  <c r="I5" i="17"/>
  <c r="I6" i="17"/>
  <c r="I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4" i="17"/>
  <c r="H2" i="17"/>
  <c r="F2" i="17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4" i="9"/>
  <c r="H2" i="9"/>
  <c r="F2" i="9"/>
  <c r="I6" i="16"/>
  <c r="I7" i="16"/>
  <c r="I8" i="16"/>
  <c r="I9" i="16"/>
  <c r="I10" i="16"/>
  <c r="I11" i="16"/>
  <c r="I12" i="16"/>
  <c r="I13" i="16"/>
  <c r="I14" i="16"/>
  <c r="I15" i="16"/>
  <c r="I16" i="16"/>
  <c r="I17" i="16"/>
  <c r="I5" i="16"/>
  <c r="I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4" i="16"/>
  <c r="H2" i="16"/>
  <c r="F2" i="16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4" i="10"/>
  <c r="H2" i="10"/>
  <c r="F2" i="10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4" i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4" i="8"/>
  <c r="H2" i="8"/>
  <c r="F2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4" i="7"/>
  <c r="H2" i="7"/>
  <c r="F2" i="7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4" i="13"/>
  <c r="H2" i="13"/>
  <c r="F2" i="13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4" i="15"/>
  <c r="H2" i="15"/>
  <c r="F2" i="15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4" i="14"/>
  <c r="H2" i="14"/>
  <c r="F2" i="14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4" i="12"/>
  <c r="H17" i="12"/>
  <c r="H5" i="12"/>
  <c r="H6" i="12"/>
  <c r="H7" i="12"/>
  <c r="H8" i="12"/>
  <c r="H9" i="12"/>
  <c r="H10" i="12"/>
  <c r="H11" i="12"/>
  <c r="H12" i="12"/>
  <c r="H13" i="12"/>
  <c r="H14" i="12"/>
  <c r="H15" i="12"/>
  <c r="H16" i="12"/>
  <c r="H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4" i="12"/>
  <c r="H2" i="12"/>
  <c r="F2" i="12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4" i="6"/>
  <c r="F6" i="6"/>
  <c r="F7" i="6"/>
  <c r="F8" i="6"/>
  <c r="F9" i="6"/>
  <c r="F10" i="6"/>
  <c r="F11" i="6"/>
  <c r="F12" i="6"/>
  <c r="F13" i="6"/>
  <c r="F14" i="6"/>
  <c r="F15" i="6"/>
  <c r="F16" i="6"/>
  <c r="F17" i="6"/>
  <c r="F5" i="6"/>
  <c r="F4" i="6"/>
  <c r="H2" i="6"/>
  <c r="F2" i="6"/>
  <c r="I6" i="5"/>
  <c r="I7" i="5"/>
  <c r="I8" i="5"/>
  <c r="I9" i="5"/>
  <c r="I10" i="5"/>
  <c r="I11" i="5"/>
  <c r="I12" i="5"/>
  <c r="I13" i="5"/>
  <c r="I14" i="5"/>
  <c r="I15" i="5"/>
  <c r="I16" i="5"/>
  <c r="I17" i="5"/>
  <c r="I5" i="5"/>
  <c r="I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4" i="5"/>
  <c r="H2" i="5"/>
  <c r="F2" i="5"/>
  <c r="I8" i="4"/>
  <c r="I9" i="4"/>
  <c r="I10" i="4"/>
  <c r="I11" i="4"/>
  <c r="I12" i="4"/>
  <c r="I13" i="4"/>
  <c r="I14" i="4"/>
  <c r="I15" i="4"/>
  <c r="I16" i="4"/>
  <c r="I17" i="4"/>
  <c r="I7" i="4"/>
  <c r="I6" i="4"/>
  <c r="I5" i="4"/>
  <c r="I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4" i="4"/>
  <c r="H2" i="4"/>
  <c r="F2" i="4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4" i="2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4" i="1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4" i="4"/>
  <c r="H2" i="11" l="1"/>
  <c r="F2" i="11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H2" i="2" l="1"/>
  <c r="F2" i="2"/>
  <c r="H2" i="1" l="1"/>
  <c r="F2" i="1"/>
</calcChain>
</file>

<file path=xl/sharedStrings.xml><?xml version="1.0" encoding="utf-8"?>
<sst xmlns="http://schemas.openxmlformats.org/spreadsheetml/2006/main" count="1097" uniqueCount="62">
  <si>
    <t>Año informado</t>
  </si>
  <si>
    <t>Trimestre informado</t>
  </si>
  <si>
    <t>Nº Mujeres</t>
  </si>
  <si>
    <t>% Mujeres</t>
  </si>
  <si>
    <t>Nº Hombres</t>
  </si>
  <si>
    <t>% Hombres</t>
  </si>
  <si>
    <t>Total</t>
  </si>
  <si>
    <t>Total Militantes</t>
  </si>
  <si>
    <t>N° Simpatizantes 14 a 17 años</t>
  </si>
  <si>
    <t>N° Militantes 18 a 19 años</t>
  </si>
  <si>
    <t>N° Militantes 20 a 24 años</t>
  </si>
  <si>
    <t>N° Militantes 25 a 29 años</t>
  </si>
  <si>
    <t>N° Militantes 30 a 34 años</t>
  </si>
  <si>
    <t>N° Militantes 35 a 39 años</t>
  </si>
  <si>
    <t>N° Militantes 40 a 44 años</t>
  </si>
  <si>
    <t>N° Militantes 45 a 49 años</t>
  </si>
  <si>
    <t>N° Militantes 50 a 54 años</t>
  </si>
  <si>
    <t>N° Militantes 55 a 59 años</t>
  </si>
  <si>
    <t>N° Militantes 60 a 64 años</t>
  </si>
  <si>
    <t>N° Militantes 65 a 69 años</t>
  </si>
  <si>
    <t>N° Militantes 70 a 74 años</t>
  </si>
  <si>
    <t>N° Militantes 75 a 79 años</t>
  </si>
  <si>
    <t>N° Militantes 80 a más años</t>
  </si>
  <si>
    <t xml:space="preserve"> Region</t>
  </si>
  <si>
    <t>Rango Etario</t>
  </si>
  <si>
    <t>AISEN DEL GRAL. CARLOS IBAÑEZ</t>
  </si>
  <si>
    <t>SIN DATOS</t>
  </si>
  <si>
    <t>ARICA Y PARINACOTA</t>
  </si>
  <si>
    <t>ANTOFAGASTA</t>
  </si>
  <si>
    <t>ATACAMA</t>
  </si>
  <si>
    <t>COQUIMBO</t>
  </si>
  <si>
    <t>ARAUCANIA</t>
  </si>
  <si>
    <t>LOS LAGOS</t>
  </si>
  <si>
    <t>LOS RIOS</t>
  </si>
  <si>
    <t>MAGALLANES Y ANTARTICA CH.</t>
  </si>
  <si>
    <t>TARAPACA</t>
  </si>
  <si>
    <t>VALPARAISO</t>
  </si>
  <si>
    <t>BIOBIO</t>
  </si>
  <si>
    <t>LIBERTADOR BDO. O'HIGGINS</t>
  </si>
  <si>
    <t>MAULE</t>
  </si>
  <si>
    <t>METROPOLITANA</t>
  </si>
  <si>
    <t>SIN REGION</t>
  </si>
  <si>
    <t>Total Militantes en la Region</t>
  </si>
  <si>
    <t>Total, Militantes</t>
  </si>
  <si>
    <t>Nº Simpatizantes 14 a 17 años</t>
  </si>
  <si>
    <t>sin datos</t>
  </si>
  <si>
    <t>Nº Militantes 18 a 19 años</t>
  </si>
  <si>
    <t>Nº Militantes 20 a 24 años</t>
  </si>
  <si>
    <t>Nº Militantes 25 a 29 años</t>
  </si>
  <si>
    <t>Nº Militantes 30 a 34 años</t>
  </si>
  <si>
    <t>Nº Militantes 35 a 39 años</t>
  </si>
  <si>
    <t>Nº Militantes 40 a 44 años</t>
  </si>
  <si>
    <t>Nº Militantes 45 a 49 años</t>
  </si>
  <si>
    <t>Nº Militantes 50 a 54 años</t>
  </si>
  <si>
    <t>Nº Militantes 55 a 59 años</t>
  </si>
  <si>
    <t>Nº Militantes 60 a 64 años</t>
  </si>
  <si>
    <t>Nº Militantes 65 a 69 años</t>
  </si>
  <si>
    <t>Nº Militantes 70 a 74 años</t>
  </si>
  <si>
    <t>Nº Militantes 75 a 79 años</t>
  </si>
  <si>
    <t>ACTUALIZACIÓN:  30 SEPTIEMBRE 2018</t>
  </si>
  <si>
    <t>JULIO - SEPTIEMBRE</t>
  </si>
  <si>
    <t xml:space="preserve">DE ÑUBLE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</si>
</sst>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AAAAA"/>
      </right>
      <top style="medium">
        <color indexed="64"/>
      </top>
      <bottom style="medium">
        <color indexed="64"/>
      </bottom>
      <diagonal/>
    </border>
    <border>
      <left/>
      <right style="medium">
        <color rgb="FFAAAAAA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AAAAA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/>
    <xf numFmtId="0" fontId="3" fillId="0" borderId="1" xfId="0" applyFont="1" applyFill="1" applyBorder="1" applyAlignment="1">
      <alignment horizontal="right" wrapText="1"/>
    </xf>
    <xf numFmtId="0" fontId="0" fillId="0" borderId="0" xfId="0" applyNumberFormat="1"/>
    <xf numFmtId="0" fontId="0" fillId="3" borderId="1" xfId="0" applyNumberFormat="1" applyFill="1" applyBorder="1"/>
    <xf numFmtId="0" fontId="4" fillId="6" borderId="0" xfId="0" applyFont="1" applyFill="1"/>
    <xf numFmtId="0" fontId="3" fillId="0" borderId="1" xfId="0" applyFont="1" applyFill="1" applyBorder="1" applyAlignment="1">
      <alignment wrapText="1"/>
    </xf>
    <xf numFmtId="0" fontId="0" fillId="0" borderId="1" xfId="0" applyNumberFormat="1" applyBorder="1"/>
    <xf numFmtId="166" fontId="0" fillId="0" borderId="1" xfId="0" applyNumberFormat="1" applyFont="1" applyFill="1" applyBorder="1"/>
    <xf numFmtId="0" fontId="5" fillId="2" borderId="1" xfId="0" applyFont="1" applyFill="1" applyBorder="1"/>
    <xf numFmtId="2" fontId="5" fillId="2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7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right"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horizontal="right" vertical="center" wrapText="1"/>
    </xf>
    <xf numFmtId="0" fontId="9" fillId="0" borderId="7" xfId="0" applyNumberFormat="1" applyFont="1" applyBorder="1"/>
    <xf numFmtId="166" fontId="9" fillId="0" borderId="1" xfId="0" applyNumberFormat="1" applyFont="1" applyFill="1" applyBorder="1"/>
    <xf numFmtId="0" fontId="9" fillId="0" borderId="8" xfId="0" applyFont="1" applyFill="1" applyBorder="1"/>
    <xf numFmtId="0" fontId="9" fillId="0" borderId="0" xfId="0" applyFont="1"/>
    <xf numFmtId="0" fontId="9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wrapText="1"/>
    </xf>
    <xf numFmtId="165" fontId="9" fillId="3" borderId="1" xfId="1" applyNumberFormat="1" applyFont="1" applyFill="1" applyBorder="1"/>
    <xf numFmtId="166" fontId="9" fillId="3" borderId="1" xfId="0" applyNumberFormat="1" applyFont="1" applyFill="1" applyBorder="1"/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 wrapText="1"/>
    </xf>
    <xf numFmtId="2" fontId="9" fillId="3" borderId="1" xfId="0" applyNumberFormat="1" applyFont="1" applyFill="1" applyBorder="1"/>
    <xf numFmtId="0" fontId="9" fillId="3" borderId="1" xfId="0" applyFont="1" applyFill="1" applyBorder="1"/>
    <xf numFmtId="0" fontId="0" fillId="0" borderId="0" xfId="0" applyFont="1"/>
    <xf numFmtId="0" fontId="9" fillId="0" borderId="0" xfId="0" applyFont="1" applyAlignment="1">
      <alignment horizontal="left"/>
    </xf>
    <xf numFmtId="0" fontId="5" fillId="4" borderId="1" xfId="0" applyFont="1" applyFill="1" applyBorder="1"/>
    <xf numFmtId="2" fontId="5" fillId="4" borderId="1" xfId="0" applyNumberFormat="1" applyFont="1" applyFill="1" applyBorder="1"/>
    <xf numFmtId="0" fontId="6" fillId="0" borderId="1" xfId="0" applyFont="1" applyFill="1" applyBorder="1" applyAlignment="1">
      <alignment horizontal="right" wrapText="1"/>
    </xf>
    <xf numFmtId="165" fontId="9" fillId="0" borderId="0" xfId="0" applyNumberFormat="1" applyFont="1"/>
    <xf numFmtId="0" fontId="0" fillId="0" borderId="1" xfId="0" applyNumberFormat="1" applyFill="1" applyBorder="1"/>
    <xf numFmtId="0" fontId="5" fillId="0" borderId="1" xfId="0" applyFont="1" applyFill="1" applyBorder="1"/>
    <xf numFmtId="2" fontId="5" fillId="0" borderId="1" xfId="0" applyNumberFormat="1" applyFont="1" applyFill="1" applyBorder="1"/>
    <xf numFmtId="0" fontId="9" fillId="0" borderId="1" xfId="0" applyFont="1" applyFill="1" applyBorder="1" applyAlignment="1">
      <alignment horizontal="left"/>
    </xf>
    <xf numFmtId="165" fontId="9" fillId="0" borderId="1" xfId="1" applyNumberFormat="1" applyFont="1" applyFill="1" applyBorder="1"/>
    <xf numFmtId="0" fontId="6" fillId="0" borderId="1" xfId="0" applyFont="1" applyFill="1" applyBorder="1" applyAlignment="1">
      <alignment horizontal="left" wrapText="1"/>
    </xf>
    <xf numFmtId="2" fontId="9" fillId="0" borderId="1" xfId="0" applyNumberFormat="1" applyFont="1" applyFill="1" applyBorder="1"/>
    <xf numFmtId="0" fontId="9" fillId="0" borderId="1" xfId="0" applyFont="1" applyFill="1" applyBorder="1"/>
    <xf numFmtId="0" fontId="5" fillId="0" borderId="8" xfId="0" applyFont="1" applyFill="1" applyBorder="1"/>
    <xf numFmtId="0" fontId="5" fillId="0" borderId="11" xfId="0" applyFont="1" applyFill="1" applyBorder="1"/>
    <xf numFmtId="2" fontId="5" fillId="0" borderId="11" xfId="0" applyNumberFormat="1" applyFont="1" applyFill="1" applyBorder="1"/>
    <xf numFmtId="0" fontId="5" fillId="0" borderId="6" xfId="0" applyFont="1" applyFill="1" applyBorder="1"/>
    <xf numFmtId="0" fontId="6" fillId="0" borderId="9" xfId="0" applyFont="1" applyFill="1" applyBorder="1" applyAlignment="1">
      <alignment wrapText="1"/>
    </xf>
    <xf numFmtId="0" fontId="0" fillId="0" borderId="12" xfId="0" applyNumberFormat="1" applyFill="1" applyBorder="1"/>
    <xf numFmtId="0" fontId="6" fillId="0" borderId="9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right" wrapText="1"/>
    </xf>
    <xf numFmtId="0" fontId="9" fillId="0" borderId="12" xfId="0" applyFont="1" applyFill="1" applyBorder="1"/>
    <xf numFmtId="0" fontId="6" fillId="0" borderId="5" xfId="0" applyFont="1" applyFill="1" applyBorder="1" applyAlignment="1">
      <alignment wrapText="1"/>
    </xf>
    <xf numFmtId="0" fontId="0" fillId="0" borderId="13" xfId="0" applyNumberFormat="1" applyFill="1" applyBorder="1"/>
    <xf numFmtId="2" fontId="9" fillId="0" borderId="13" xfId="0" applyNumberFormat="1" applyFont="1" applyFill="1" applyBorder="1"/>
    <xf numFmtId="166" fontId="9" fillId="0" borderId="13" xfId="0" applyNumberFormat="1" applyFont="1" applyFill="1" applyBorder="1"/>
    <xf numFmtId="0" fontId="9" fillId="0" borderId="4" xfId="0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0" fontId="0" fillId="0" borderId="1" xfId="0" applyFont="1" applyFill="1" applyBorder="1" applyAlignment="1">
      <alignment horizontal="left"/>
    </xf>
    <xf numFmtId="165" fontId="0" fillId="0" borderId="1" xfId="1" applyNumberFormat="1" applyFont="1" applyFill="1" applyBorder="1"/>
    <xf numFmtId="0" fontId="3" fillId="0" borderId="1" xfId="0" applyFont="1" applyFill="1" applyBorder="1" applyAlignment="1">
      <alignment horizontal="left" wrapText="1"/>
    </xf>
    <xf numFmtId="2" fontId="0" fillId="0" borderId="1" xfId="0" applyNumberFormat="1" applyFont="1" applyFill="1" applyBorder="1"/>
    <xf numFmtId="0" fontId="9" fillId="0" borderId="1" xfId="0" applyNumberFormat="1" applyFont="1" applyFill="1" applyBorder="1"/>
  </cellXfs>
  <cellStyles count="2">
    <cellStyle name="Millares" xfId="1" builtinId="3"/>
    <cellStyle name="Normal" xfId="0" builtinId="0"/>
  </cellStyles>
  <dxfs count="198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0.0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-* #,##0.0_-;\-* #,##0.0_-;_-* &quot;-&quot;??_-;_-@_-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2018/RANGO%20ETARIO%20A%20%20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ANGO ETARIO A  SEPTIEMBRE 2018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la13456789101315161719" displayName="Tabla13456789101315161719" ref="C1:H16" totalsRowShown="0" headerRowDxfId="197" dataDxfId="195" headerRowBorderDxfId="196" tableBorderDxfId="194" totalsRowBorderDxfId="193">
  <tableColumns count="6">
    <tableColumn id="1" xr3:uid="{00000000-0010-0000-0000-000001000000}" name="Rango Etario" dataDxfId="192"/>
    <tableColumn id="5" xr3:uid="{00000000-0010-0000-0000-000005000000}" name="Nº Mujeres" dataDxfId="191"/>
    <tableColumn id="2" xr3:uid="{00000000-0010-0000-0000-000002000000}" name="% Mujeres" dataDxfId="190"/>
    <tableColumn id="6" xr3:uid="{00000000-0010-0000-0000-000006000000}" name="Nº Hombres" dataDxfId="189"/>
    <tableColumn id="3" xr3:uid="{00000000-0010-0000-0000-000003000000}" name="% Hombres" dataDxfId="188"/>
    <tableColumn id="4" xr3:uid="{00000000-0010-0000-0000-000004000000}" name="Total" dataDxfId="18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a134567891013" displayName="Tabla134567891013" ref="D1:I17" totalsRowShown="0" headerRowDxfId="98" dataDxfId="96" headerRowBorderDxfId="97" tableBorderDxfId="95" totalsRowBorderDxfId="94">
  <tableColumns count="6">
    <tableColumn id="1" xr3:uid="{00000000-0010-0000-0900-000001000000}" name="Rango Etario" dataDxfId="93"/>
    <tableColumn id="5" xr3:uid="{00000000-0010-0000-0900-000005000000}" name="Nº Mujeres" dataDxfId="92"/>
    <tableColumn id="2" xr3:uid="{00000000-0010-0000-0900-000002000000}" name="% Mujeres" dataDxfId="91"/>
    <tableColumn id="6" xr3:uid="{00000000-0010-0000-0900-000006000000}" name="Nº Hombres" dataDxfId="90"/>
    <tableColumn id="3" xr3:uid="{00000000-0010-0000-0900-000003000000}" name="% Hombres" dataDxfId="89"/>
    <tableColumn id="4" xr3:uid="{00000000-0010-0000-0900-000004000000}" name="Total" dataDxfId="8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A000000}" name="Tabla13456789101315161718" displayName="Tabla13456789101315161718" ref="D1:I17" totalsRowShown="0" headerRowDxfId="87" dataDxfId="85" headerRowBorderDxfId="86" tableBorderDxfId="84" totalsRowBorderDxfId="83">
  <tableColumns count="6">
    <tableColumn id="1" xr3:uid="{00000000-0010-0000-0A00-000001000000}" name="Rango Etario" dataDxfId="82"/>
    <tableColumn id="5" xr3:uid="{00000000-0010-0000-0A00-000005000000}" name="Nº Mujeres" dataDxfId="81"/>
    <tableColumn id="2" xr3:uid="{00000000-0010-0000-0A00-000002000000}" name="% Mujeres" dataDxfId="80"/>
    <tableColumn id="6" xr3:uid="{00000000-0010-0000-0A00-000006000000}" name="Nº Hombres" dataDxfId="79"/>
    <tableColumn id="3" xr3:uid="{00000000-0010-0000-0A00-000003000000}" name="% Hombres" dataDxfId="78"/>
    <tableColumn id="4" xr3:uid="{00000000-0010-0000-0A00-000004000000}" name="Total" dataDxfId="77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a134567" displayName="Tabla134567" ref="D1:I17" totalsRowShown="0" headerRowDxfId="76" dataDxfId="74" headerRowBorderDxfId="75" tableBorderDxfId="73" totalsRowBorderDxfId="72">
  <tableColumns count="6">
    <tableColumn id="1" xr3:uid="{00000000-0010-0000-0B00-000001000000}" name="Rango Etario" dataDxfId="71"/>
    <tableColumn id="5" xr3:uid="{00000000-0010-0000-0B00-000005000000}" name="Nº Mujeres" dataDxfId="70"/>
    <tableColumn id="2" xr3:uid="{00000000-0010-0000-0B00-000002000000}" name="% Mujeres" dataDxfId="69"/>
    <tableColumn id="6" xr3:uid="{00000000-0010-0000-0B00-000006000000}" name="Nº Hombres" dataDxfId="68"/>
    <tableColumn id="3" xr3:uid="{00000000-0010-0000-0B00-000003000000}" name="% Hombres" dataDxfId="67"/>
    <tableColumn id="4" xr3:uid="{00000000-0010-0000-0B00-000004000000}" name="Total" dataDxfId="66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la13456789" displayName="Tabla13456789" ref="D1:I17" totalsRowShown="0" headerRowDxfId="65" dataDxfId="63" headerRowBorderDxfId="64" tableBorderDxfId="62" totalsRowBorderDxfId="61">
  <tableColumns count="6">
    <tableColumn id="1" xr3:uid="{00000000-0010-0000-0C00-000001000000}" name="Rango Etario" dataDxfId="60"/>
    <tableColumn id="5" xr3:uid="{00000000-0010-0000-0C00-000005000000}" name="Nº Mujeres" dataDxfId="59"/>
    <tableColumn id="2" xr3:uid="{00000000-0010-0000-0C00-000002000000}" name="% Mujeres" dataDxfId="58"/>
    <tableColumn id="6" xr3:uid="{00000000-0010-0000-0C00-000006000000}" name="Nº Hombres" dataDxfId="57"/>
    <tableColumn id="3" xr3:uid="{00000000-0010-0000-0C00-000003000000}" name="% Hombres" dataDxfId="56"/>
    <tableColumn id="4" xr3:uid="{00000000-0010-0000-0C00-000004000000}" name="Total" dataDxfId="5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D000000}" name="Tabla1345678" displayName="Tabla1345678" ref="D1:I17" totalsRowShown="0" headerRowDxfId="54" dataDxfId="52" headerRowBorderDxfId="53" tableBorderDxfId="51" totalsRowBorderDxfId="50">
  <tableColumns count="6">
    <tableColumn id="1" xr3:uid="{00000000-0010-0000-0D00-000001000000}" name="Rango Etario" dataDxfId="49"/>
    <tableColumn id="5" xr3:uid="{00000000-0010-0000-0D00-000005000000}" name="Nº Mujeres" dataDxfId="48"/>
    <tableColumn id="2" xr3:uid="{00000000-0010-0000-0D00-000002000000}" name="% Mujeres" dataDxfId="47"/>
    <tableColumn id="6" xr3:uid="{00000000-0010-0000-0D00-000006000000}" name="Nº Hombres" dataDxfId="46"/>
    <tableColumn id="3" xr3:uid="{00000000-0010-0000-0D00-000003000000}" name="% Hombres" dataDxfId="45"/>
    <tableColumn id="4" xr3:uid="{00000000-0010-0000-0D00-000004000000}" name="Total" dataDxfId="4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E000000}" name="Tabla1" displayName="Tabla1" ref="D1:I17" totalsRowShown="0" headerRowDxfId="43" dataDxfId="41" headerRowBorderDxfId="42" tableBorderDxfId="40" totalsRowBorderDxfId="39">
  <tableColumns count="6">
    <tableColumn id="1" xr3:uid="{00000000-0010-0000-0E00-000001000000}" name="Rango Etario" dataDxfId="38"/>
    <tableColumn id="5" xr3:uid="{00000000-0010-0000-0E00-000005000000}" name="Nº Mujeres" dataDxfId="37"/>
    <tableColumn id="2" xr3:uid="{00000000-0010-0000-0E00-000002000000}" name="% Mujeres" dataDxfId="36"/>
    <tableColumn id="6" xr3:uid="{00000000-0010-0000-0E00-000006000000}" name="Nº Hombres" dataDxfId="35"/>
    <tableColumn id="3" xr3:uid="{00000000-0010-0000-0E00-000003000000}" name="% Hombres" dataDxfId="34"/>
    <tableColumn id="4" xr3:uid="{00000000-0010-0000-0E00-000004000000}" name="Total" dataDxfId="33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F000000}" name="Tabla1345678910" displayName="Tabla1345678910" ref="D1:I17" totalsRowShown="0" headerRowDxfId="32" dataDxfId="30" headerRowBorderDxfId="31" tableBorderDxfId="29" totalsRowBorderDxfId="28">
  <tableColumns count="6">
    <tableColumn id="1" xr3:uid="{00000000-0010-0000-0F00-000001000000}" name="Rango Etario" dataDxfId="27"/>
    <tableColumn id="5" xr3:uid="{00000000-0010-0000-0F00-000005000000}" name="Nº Mujeres" dataDxfId="26"/>
    <tableColumn id="2" xr3:uid="{00000000-0010-0000-0F00-000002000000}" name="% Mujeres" dataDxfId="25"/>
    <tableColumn id="6" xr3:uid="{00000000-0010-0000-0F00-000006000000}" name="Nº Hombres" dataDxfId="24"/>
    <tableColumn id="3" xr3:uid="{00000000-0010-0000-0F00-000003000000}" name="% Hombres" dataDxfId="23"/>
    <tableColumn id="4" xr3:uid="{00000000-0010-0000-0F00-000004000000}" name="Total" dataDxfId="22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0000000}" name="Tabla1345678910131516" displayName="Tabla1345678910131516" ref="D1:I17" totalsRowShown="0" headerRowDxfId="21" dataDxfId="19" headerRowBorderDxfId="20" tableBorderDxfId="18" totalsRowBorderDxfId="17">
  <tableColumns count="6">
    <tableColumn id="1" xr3:uid="{00000000-0010-0000-1000-000001000000}" name="Rango Etario" dataDxfId="16"/>
    <tableColumn id="5" xr3:uid="{00000000-0010-0000-1000-000005000000}" name="Nº Mujeres" dataDxfId="15"/>
    <tableColumn id="2" xr3:uid="{00000000-0010-0000-1000-000002000000}" name="% Mujeres" dataDxfId="14"/>
    <tableColumn id="6" xr3:uid="{00000000-0010-0000-1000-000006000000}" name="Nº Hombres" dataDxfId="13"/>
    <tableColumn id="3" xr3:uid="{00000000-0010-0000-1000-000003000000}" name="% Hombres" dataDxfId="12"/>
    <tableColumn id="4" xr3:uid="{00000000-0010-0000-1000-000004000000}" name="Total" dataDxfId="11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1000000}" name="Tabla134567891013151617" displayName="Tabla134567891013151617" ref="D1:I17" totalsRowShown="0" headerRowDxfId="10" dataDxfId="8" headerRowBorderDxfId="9" tableBorderDxfId="7" totalsRowBorderDxfId="6">
  <tableColumns count="6">
    <tableColumn id="1" xr3:uid="{00000000-0010-0000-1100-000001000000}" name="Rango Etario" dataDxfId="5"/>
    <tableColumn id="5" xr3:uid="{00000000-0010-0000-1100-000005000000}" name="Nº Mujeres" dataDxfId="4"/>
    <tableColumn id="2" xr3:uid="{00000000-0010-0000-1100-000002000000}" name="% Mujeres" dataDxfId="3"/>
    <tableColumn id="6" xr3:uid="{00000000-0010-0000-1100-000006000000}" name="Nº Hombres" dataDxfId="2"/>
    <tableColumn id="3" xr3:uid="{00000000-0010-0000-1100-000003000000}" name="% Hombres" dataDxfId="1"/>
    <tableColumn id="4" xr3:uid="{00000000-0010-0000-1100-000004000000}" name="Total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D1:I17" totalsRowShown="0" headerRowDxfId="186" dataDxfId="184" headerRowBorderDxfId="185" tableBorderDxfId="183" totalsRowBorderDxfId="182">
  <tableColumns count="6">
    <tableColumn id="1" xr3:uid="{00000000-0010-0000-0100-000001000000}" name="Rango Etario" dataDxfId="181"/>
    <tableColumn id="5" xr3:uid="{00000000-0010-0000-0100-000005000000}" name="Nº Mujeres" dataDxfId="180"/>
    <tableColumn id="2" xr3:uid="{00000000-0010-0000-0100-000002000000}" name="% Mujeres" dataDxfId="179"/>
    <tableColumn id="6" xr3:uid="{00000000-0010-0000-0100-000006000000}" name="Nº Hombres" dataDxfId="178"/>
    <tableColumn id="3" xr3:uid="{00000000-0010-0000-0100-000003000000}" name="% Hombres" dataDxfId="177"/>
    <tableColumn id="4" xr3:uid="{00000000-0010-0000-0100-000004000000}" name="Total" dataDxfId="17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la134567891011" displayName="Tabla134567891011" ref="D1:I17" totalsRowShown="0" headerRowDxfId="175" dataDxfId="173" headerRowBorderDxfId="174" tableBorderDxfId="172" totalsRowBorderDxfId="171">
  <tableColumns count="6">
    <tableColumn id="1" xr3:uid="{00000000-0010-0000-0200-000001000000}" name="Rango Etario" dataDxfId="170"/>
    <tableColumn id="5" xr3:uid="{00000000-0010-0000-0200-000005000000}" name="Nº Mujeres" dataDxfId="169"/>
    <tableColumn id="2" xr3:uid="{00000000-0010-0000-0200-000002000000}" name="% Mujeres" dataDxfId="168"/>
    <tableColumn id="6" xr3:uid="{00000000-0010-0000-0200-000006000000}" name="Nº Hombres" dataDxfId="167"/>
    <tableColumn id="3" xr3:uid="{00000000-0010-0000-0200-000003000000}" name="% Hombres" dataDxfId="166"/>
    <tableColumn id="4" xr3:uid="{00000000-0010-0000-0200-000004000000}" name="Total" dataDxfId="16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134" displayName="Tabla134" ref="D1:I17" totalsRowShown="0" headerRowDxfId="164" dataDxfId="162" headerRowBorderDxfId="163" tableBorderDxfId="161" totalsRowBorderDxfId="160">
  <tableColumns count="6">
    <tableColumn id="1" xr3:uid="{00000000-0010-0000-0300-000001000000}" name="Rango Etario" dataDxfId="159"/>
    <tableColumn id="5" xr3:uid="{00000000-0010-0000-0300-000005000000}" name="Nº Mujeres" dataDxfId="158"/>
    <tableColumn id="2" xr3:uid="{00000000-0010-0000-0300-000002000000}" name="% Mujeres" dataDxfId="157"/>
    <tableColumn id="6" xr3:uid="{00000000-0010-0000-0300-000006000000}" name="Nº Hombres" dataDxfId="156"/>
    <tableColumn id="3" xr3:uid="{00000000-0010-0000-0300-000003000000}" name="% Hombres" dataDxfId="155"/>
    <tableColumn id="4" xr3:uid="{00000000-0010-0000-0300-000004000000}" name="Total" dataDxfId="15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1345" displayName="Tabla1345" ref="D1:I17" totalsRowShown="0" headerRowDxfId="153" dataDxfId="151" headerRowBorderDxfId="152" tableBorderDxfId="150" totalsRowBorderDxfId="149">
  <tableColumns count="6">
    <tableColumn id="1" xr3:uid="{00000000-0010-0000-0400-000001000000}" name="Rango Etario" dataDxfId="148"/>
    <tableColumn id="5" xr3:uid="{00000000-0010-0000-0400-000005000000}" name="Nº Mujeres" dataDxfId="147"/>
    <tableColumn id="2" xr3:uid="{00000000-0010-0000-0400-000002000000}" name="% Mujeres" dataDxfId="146"/>
    <tableColumn id="6" xr3:uid="{00000000-0010-0000-0400-000006000000}" name="Nº Hombres" dataDxfId="145"/>
    <tableColumn id="3" xr3:uid="{00000000-0010-0000-0400-000003000000}" name="% Hombres" dataDxfId="144"/>
    <tableColumn id="4" xr3:uid="{00000000-0010-0000-0400-000004000000}" name="Total" dataDxfId="14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a13456" displayName="Tabla13456" ref="D1:I17" totalsRowShown="0" headerRowDxfId="142" dataDxfId="140" headerRowBorderDxfId="141" tableBorderDxfId="139" totalsRowBorderDxfId="138">
  <tableColumns count="6">
    <tableColumn id="1" xr3:uid="{00000000-0010-0000-0500-000001000000}" name="Rango Etario" dataDxfId="137"/>
    <tableColumn id="5" xr3:uid="{00000000-0010-0000-0500-000005000000}" name="Nº Mujeres" dataDxfId="136"/>
    <tableColumn id="2" xr3:uid="{00000000-0010-0000-0500-000002000000}" name="% Mujeres" dataDxfId="135"/>
    <tableColumn id="6" xr3:uid="{00000000-0010-0000-0500-000006000000}" name="Nº Hombres" dataDxfId="134"/>
    <tableColumn id="3" xr3:uid="{00000000-0010-0000-0500-000003000000}" name="% Hombres" dataDxfId="133"/>
    <tableColumn id="4" xr3:uid="{00000000-0010-0000-0500-000004000000}" name="Total" dataDxfId="13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a134567891012" displayName="Tabla134567891012" ref="D1:I17" totalsRowShown="0" headerRowDxfId="131" dataDxfId="129" headerRowBorderDxfId="130" tableBorderDxfId="128" totalsRowBorderDxfId="127">
  <tableColumns count="6">
    <tableColumn id="1" xr3:uid="{00000000-0010-0000-0600-000001000000}" name="Rango Etario" dataDxfId="126"/>
    <tableColumn id="5" xr3:uid="{00000000-0010-0000-0600-000005000000}" name="Nº Mujeres" dataDxfId="125"/>
    <tableColumn id="2" xr3:uid="{00000000-0010-0000-0600-000002000000}" name="% Mujeres" dataDxfId="124"/>
    <tableColumn id="6" xr3:uid="{00000000-0010-0000-0600-000006000000}" name="Nº Hombres" dataDxfId="123"/>
    <tableColumn id="3" xr3:uid="{00000000-0010-0000-0600-000003000000}" name="% Hombres" dataDxfId="122"/>
    <tableColumn id="4" xr3:uid="{00000000-0010-0000-0600-000004000000}" name="Total" dataDxfId="12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7000000}" name="Tabla13456789101314" displayName="Tabla13456789101314" ref="D1:I17" totalsRowShown="0" headerRowDxfId="120" dataDxfId="118" headerRowBorderDxfId="119" tableBorderDxfId="117" totalsRowBorderDxfId="116">
  <tableColumns count="6">
    <tableColumn id="1" xr3:uid="{00000000-0010-0000-0700-000001000000}" name="Rango Etario" dataDxfId="115"/>
    <tableColumn id="5" xr3:uid="{00000000-0010-0000-0700-000005000000}" name="Nº Mujeres" dataDxfId="114"/>
    <tableColumn id="2" xr3:uid="{00000000-0010-0000-0700-000002000000}" name="% Mujeres" dataDxfId="113"/>
    <tableColumn id="6" xr3:uid="{00000000-0010-0000-0700-000006000000}" name="Nº Hombres" dataDxfId="112"/>
    <tableColumn id="3" xr3:uid="{00000000-0010-0000-0700-000003000000}" name="% Hombres" dataDxfId="111"/>
    <tableColumn id="4" xr3:uid="{00000000-0010-0000-0700-000004000000}" name="Total" dataDxfId="110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8000000}" name="Tabla13456789101315" displayName="Tabla13456789101315" ref="D1:I17" totalsRowShown="0" headerRowDxfId="109" dataDxfId="107" headerRowBorderDxfId="108" tableBorderDxfId="106" totalsRowBorderDxfId="105">
  <tableColumns count="6">
    <tableColumn id="1" xr3:uid="{00000000-0010-0000-0800-000001000000}" name="Rango Etario" dataDxfId="104"/>
    <tableColumn id="5" xr3:uid="{00000000-0010-0000-0800-000005000000}" name="Nº Mujeres" dataDxfId="103"/>
    <tableColumn id="2" xr3:uid="{00000000-0010-0000-0800-000002000000}" name="% Mujeres" dataDxfId="102"/>
    <tableColumn id="6" xr3:uid="{00000000-0010-0000-0800-000006000000}" name="Nº Hombres" dataDxfId="101"/>
    <tableColumn id="3" xr3:uid="{00000000-0010-0000-0800-000003000000}" name="% Hombres" dataDxfId="100"/>
    <tableColumn id="4" xr3:uid="{00000000-0010-0000-0800-000004000000}" name="Total" dataDxfId="9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selection activeCell="D22" sqref="D22"/>
    </sheetView>
  </sheetViews>
  <sheetFormatPr baseColWidth="10" defaultRowHeight="15" x14ac:dyDescent="0.25"/>
  <cols>
    <col min="1" max="1" width="17.7109375" customWidth="1"/>
    <col min="2" max="2" width="19.140625" customWidth="1"/>
    <col min="3" max="3" width="27.5703125" customWidth="1"/>
  </cols>
  <sheetData>
    <row r="1" spans="1:8" ht="15.75" thickBot="1" x14ac:dyDescent="0.3">
      <c r="A1" s="9" t="s">
        <v>0</v>
      </c>
      <c r="B1" s="9" t="s">
        <v>1</v>
      </c>
      <c r="C1" s="9" t="s">
        <v>24</v>
      </c>
      <c r="D1" s="9" t="s">
        <v>2</v>
      </c>
      <c r="E1" s="10" t="s">
        <v>3</v>
      </c>
      <c r="F1" s="9" t="s">
        <v>4</v>
      </c>
      <c r="G1" s="9" t="s">
        <v>5</v>
      </c>
      <c r="H1" s="9" t="s">
        <v>6</v>
      </c>
    </row>
    <row r="2" spans="1:8" ht="15.75" thickBot="1" x14ac:dyDescent="0.3">
      <c r="A2" s="11">
        <v>2018</v>
      </c>
      <c r="B2" s="11" t="s">
        <v>60</v>
      </c>
      <c r="C2" s="12" t="s">
        <v>43</v>
      </c>
      <c r="D2" s="13">
        <v>53036</v>
      </c>
      <c r="E2" s="13">
        <v>47.612464202673465</v>
      </c>
      <c r="F2" s="13">
        <v>58355</v>
      </c>
      <c r="G2" s="13">
        <v>52.387535797326535</v>
      </c>
      <c r="H2" s="14">
        <v>111391</v>
      </c>
    </row>
    <row r="3" spans="1:8" ht="15.75" thickBot="1" x14ac:dyDescent="0.3">
      <c r="A3" s="11">
        <v>2018</v>
      </c>
      <c r="B3" s="11" t="s">
        <v>60</v>
      </c>
      <c r="C3" s="15" t="s">
        <v>44</v>
      </c>
      <c r="D3" s="16"/>
      <c r="E3" s="16" t="s">
        <v>45</v>
      </c>
      <c r="F3" s="16"/>
      <c r="G3" s="16" t="s">
        <v>45</v>
      </c>
      <c r="H3" s="16" t="s">
        <v>45</v>
      </c>
    </row>
    <row r="4" spans="1:8" ht="15.75" thickBot="1" x14ac:dyDescent="0.3">
      <c r="A4" s="11">
        <v>2018</v>
      </c>
      <c r="B4" s="11" t="s">
        <v>60</v>
      </c>
      <c r="C4" s="15" t="s">
        <v>46</v>
      </c>
      <c r="D4" s="16">
        <v>94</v>
      </c>
      <c r="E4" s="16">
        <v>8.4387428068694953E-2</v>
      </c>
      <c r="F4" s="16">
        <v>87</v>
      </c>
      <c r="G4" s="16">
        <v>7.8103257893366612E-2</v>
      </c>
      <c r="H4" s="16">
        <v>181</v>
      </c>
    </row>
    <row r="5" spans="1:8" ht="15.75" thickBot="1" x14ac:dyDescent="0.3">
      <c r="A5" s="11">
        <v>2018</v>
      </c>
      <c r="B5" s="11" t="s">
        <v>60</v>
      </c>
      <c r="C5" s="15" t="s">
        <v>47</v>
      </c>
      <c r="D5" s="16">
        <v>1041</v>
      </c>
      <c r="E5" s="16">
        <v>0.93454587893097285</v>
      </c>
      <c r="F5" s="16">
        <v>933</v>
      </c>
      <c r="G5" s="16">
        <v>0.83759011051162124</v>
      </c>
      <c r="H5" s="16">
        <v>1974</v>
      </c>
    </row>
    <row r="6" spans="1:8" ht="15.75" thickBot="1" x14ac:dyDescent="0.3">
      <c r="A6" s="11">
        <v>2018</v>
      </c>
      <c r="B6" s="11" t="s">
        <v>60</v>
      </c>
      <c r="C6" s="15" t="s">
        <v>48</v>
      </c>
      <c r="D6" s="16">
        <v>1525</v>
      </c>
      <c r="E6" s="16">
        <v>1.3690513596251044</v>
      </c>
      <c r="F6" s="16">
        <v>1596</v>
      </c>
      <c r="G6" s="16">
        <v>1.4327907999748632</v>
      </c>
      <c r="H6" s="16">
        <v>3121</v>
      </c>
    </row>
    <row r="7" spans="1:8" ht="15.75" thickBot="1" x14ac:dyDescent="0.3">
      <c r="A7" s="11">
        <v>2018</v>
      </c>
      <c r="B7" s="11" t="s">
        <v>60</v>
      </c>
      <c r="C7" s="15" t="s">
        <v>49</v>
      </c>
      <c r="D7" s="16">
        <v>1428</v>
      </c>
      <c r="E7" s="16">
        <v>1.2819707157669831</v>
      </c>
      <c r="F7" s="16">
        <v>1536</v>
      </c>
      <c r="G7" s="16">
        <v>1.3789264841863347</v>
      </c>
      <c r="H7" s="16">
        <v>2964</v>
      </c>
    </row>
    <row r="8" spans="1:8" ht="15.75" thickBot="1" x14ac:dyDescent="0.3">
      <c r="A8" s="11">
        <v>2018</v>
      </c>
      <c r="B8" s="11" t="s">
        <v>60</v>
      </c>
      <c r="C8" s="15" t="s">
        <v>50</v>
      </c>
      <c r="D8" s="16">
        <v>1947</v>
      </c>
      <c r="E8" s="16">
        <v>1.7478970473377562</v>
      </c>
      <c r="F8" s="16">
        <v>1920</v>
      </c>
      <c r="G8" s="16">
        <v>1.7236581052329183</v>
      </c>
      <c r="H8" s="16">
        <v>3867</v>
      </c>
    </row>
    <row r="9" spans="1:8" ht="15.75" thickBot="1" x14ac:dyDescent="0.3">
      <c r="A9" s="11">
        <v>2018</v>
      </c>
      <c r="B9" s="11" t="s">
        <v>60</v>
      </c>
      <c r="C9" s="15" t="s">
        <v>51</v>
      </c>
      <c r="D9" s="16">
        <v>2795</v>
      </c>
      <c r="E9" s="16">
        <v>2.5091793771489619</v>
      </c>
      <c r="F9" s="16">
        <v>2874</v>
      </c>
      <c r="G9" s="16">
        <v>2.5801007262705244</v>
      </c>
      <c r="H9" s="16">
        <v>5669</v>
      </c>
    </row>
    <row r="10" spans="1:8" ht="15.75" thickBot="1" x14ac:dyDescent="0.3">
      <c r="A10" s="11">
        <v>2018</v>
      </c>
      <c r="B10" s="11" t="s">
        <v>60</v>
      </c>
      <c r="C10" s="15" t="s">
        <v>52</v>
      </c>
      <c r="D10" s="16">
        <v>4975</v>
      </c>
      <c r="E10" s="16">
        <v>4.4662495174655046</v>
      </c>
      <c r="F10" s="16">
        <v>5666</v>
      </c>
      <c r="G10" s="16">
        <v>5.0865868876300597</v>
      </c>
      <c r="H10" s="16">
        <v>10641</v>
      </c>
    </row>
    <row r="11" spans="1:8" ht="15.75" thickBot="1" x14ac:dyDescent="0.3">
      <c r="A11" s="11">
        <v>2018</v>
      </c>
      <c r="B11" s="11" t="s">
        <v>60</v>
      </c>
      <c r="C11" s="15" t="s">
        <v>53</v>
      </c>
      <c r="D11" s="16">
        <v>7153</v>
      </c>
      <c r="E11" s="16">
        <v>6.4215241805890964</v>
      </c>
      <c r="F11" s="16">
        <v>7912</v>
      </c>
      <c r="G11" s="16">
        <v>7.1029077753139838</v>
      </c>
      <c r="H11" s="16">
        <v>15065</v>
      </c>
    </row>
    <row r="12" spans="1:8" ht="15.75" thickBot="1" x14ac:dyDescent="0.3">
      <c r="A12" s="11">
        <v>2018</v>
      </c>
      <c r="B12" s="11" t="s">
        <v>60</v>
      </c>
      <c r="C12" s="15" t="s">
        <v>54</v>
      </c>
      <c r="D12" s="16">
        <v>6729</v>
      </c>
      <c r="E12" s="16">
        <v>6.0408830156834936</v>
      </c>
      <c r="F12" s="16">
        <v>7762</v>
      </c>
      <c r="G12" s="16">
        <v>6.9682469858426623</v>
      </c>
      <c r="H12" s="16">
        <v>14491</v>
      </c>
    </row>
    <row r="13" spans="1:8" ht="15.75" thickBot="1" x14ac:dyDescent="0.3">
      <c r="A13" s="11">
        <v>2018</v>
      </c>
      <c r="B13" s="11" t="s">
        <v>60</v>
      </c>
      <c r="C13" s="15" t="s">
        <v>55</v>
      </c>
      <c r="D13" s="16">
        <v>6152</v>
      </c>
      <c r="E13" s="16">
        <v>5.5228878455171424</v>
      </c>
      <c r="F13" s="16">
        <v>6916</v>
      </c>
      <c r="G13" s="16">
        <v>6.2087601332244073</v>
      </c>
      <c r="H13" s="16">
        <v>13068</v>
      </c>
    </row>
    <row r="14" spans="1:8" ht="15.75" thickBot="1" x14ac:dyDescent="0.3">
      <c r="A14" s="11">
        <v>2018</v>
      </c>
      <c r="B14" s="11" t="s">
        <v>60</v>
      </c>
      <c r="C14" s="15" t="s">
        <v>56</v>
      </c>
      <c r="D14" s="16">
        <v>5214</v>
      </c>
      <c r="E14" s="16">
        <v>4.6808090420231441</v>
      </c>
      <c r="F14" s="16">
        <v>6021</v>
      </c>
      <c r="G14" s="16">
        <v>5.4052840893788545</v>
      </c>
      <c r="H14" s="16">
        <v>11235</v>
      </c>
    </row>
    <row r="15" spans="1:8" ht="15.75" thickBot="1" x14ac:dyDescent="0.3">
      <c r="A15" s="11">
        <v>2018</v>
      </c>
      <c r="B15" s="11" t="s">
        <v>60</v>
      </c>
      <c r="C15" s="15" t="s">
        <v>57</v>
      </c>
      <c r="D15" s="16">
        <v>4622</v>
      </c>
      <c r="E15" s="16">
        <v>4.1493477929096603</v>
      </c>
      <c r="F15" s="16">
        <v>5617</v>
      </c>
      <c r="G15" s="16">
        <v>5.042597696402761</v>
      </c>
      <c r="H15" s="16">
        <v>10239</v>
      </c>
    </row>
    <row r="16" spans="1:8" x14ac:dyDescent="0.25">
      <c r="A16" s="11">
        <v>2018</v>
      </c>
      <c r="B16" s="11" t="s">
        <v>60</v>
      </c>
      <c r="C16" s="17" t="s">
        <v>58</v>
      </c>
      <c r="D16" s="18">
        <v>3907</v>
      </c>
      <c r="E16" s="18">
        <v>3.5074646964296936</v>
      </c>
      <c r="F16" s="18">
        <v>4354</v>
      </c>
      <c r="G16" s="18">
        <v>3.9087538490542322</v>
      </c>
      <c r="H16" s="18">
        <v>8261</v>
      </c>
    </row>
    <row r="17" spans="1:8" x14ac:dyDescent="0.25">
      <c r="A17" s="11">
        <v>2018</v>
      </c>
      <c r="B17" s="11" t="s">
        <v>60</v>
      </c>
      <c r="C17" s="11" t="s">
        <v>22</v>
      </c>
      <c r="D17" s="19">
        <v>5454</v>
      </c>
      <c r="E17" s="20" t="e">
        <f>[1]!Tabla1[[#This Row],[Nº Mujeres]]*100/$H$2</f>
        <v>#REF!</v>
      </c>
      <c r="F17" s="19">
        <v>5161</v>
      </c>
      <c r="G17" s="20" t="e">
        <f>[1]!Tabla1[[#This Row],[Nº Hombres]]*100/$H$2</f>
        <v>#REF!</v>
      </c>
      <c r="H17" s="21" t="e">
        <f>[1]!Tabla1[[#This Row],[Nº Mujeres]]+[1]!Tabla1[[#This Row],[Nº Hombres]]</f>
        <v>#REF!</v>
      </c>
    </row>
    <row r="18" spans="1:8" x14ac:dyDescent="0.25">
      <c r="F18" s="5" t="s">
        <v>59</v>
      </c>
      <c r="G18" s="5"/>
      <c r="H18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7"/>
  <sheetViews>
    <sheetView topLeftCell="C1" workbookViewId="0">
      <selection activeCell="H11" sqref="H11"/>
    </sheetView>
  </sheetViews>
  <sheetFormatPr baseColWidth="10" defaultColWidth="20" defaultRowHeight="12.75" x14ac:dyDescent="0.2"/>
  <cols>
    <col min="1" max="2" width="20" style="22"/>
    <col min="3" max="3" width="11.85546875" style="22" customWidth="1"/>
    <col min="4" max="5" width="25" style="22" customWidth="1"/>
    <col min="6" max="16384" width="20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ht="15" x14ac:dyDescent="0.25">
      <c r="A2" s="11">
        <v>2018</v>
      </c>
      <c r="B2" s="11" t="s">
        <v>60</v>
      </c>
      <c r="C2" s="23" t="s">
        <v>37</v>
      </c>
      <c r="D2" s="11" t="s">
        <v>42</v>
      </c>
      <c r="E2" s="37">
        <v>4164</v>
      </c>
      <c r="F2" s="41">
        <f>Tabla134567891013[[#This Row],[Nº Mujeres]]*100/Tabla134567891013[[#This Row],[Total]]</f>
        <v>45.990722332670643</v>
      </c>
      <c r="G2" s="37">
        <v>4890</v>
      </c>
      <c r="H2" s="20">
        <f>Tabla134567891013[[#This Row],[Nº Hombres]]*100/11956</f>
        <v>40.899966543994644</v>
      </c>
      <c r="I2" s="37">
        <v>9054</v>
      </c>
    </row>
    <row r="3" spans="1:9" x14ac:dyDescent="0.2">
      <c r="A3" s="11">
        <v>2018</v>
      </c>
      <c r="B3" s="11" t="s">
        <v>60</v>
      </c>
      <c r="C3" s="23" t="s">
        <v>37</v>
      </c>
      <c r="D3" s="42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</row>
    <row r="4" spans="1:9" ht="15" x14ac:dyDescent="0.25">
      <c r="A4" s="11">
        <v>2018</v>
      </c>
      <c r="B4" s="11" t="s">
        <v>60</v>
      </c>
      <c r="C4" s="23" t="s">
        <v>37</v>
      </c>
      <c r="D4" s="11" t="s">
        <v>9</v>
      </c>
      <c r="E4" s="37">
        <v>13</v>
      </c>
      <c r="F4" s="43">
        <f>Tabla134567891013[[#This Row],[Nº Mujeres]]*100/$E$2</f>
        <v>0.31219980787704132</v>
      </c>
      <c r="G4" s="37">
        <v>7</v>
      </c>
      <c r="H4" s="20">
        <f>Tabla134567891013[[#This Row],[Nº Hombres]]*100/$G$2</f>
        <v>0.14314928425357873</v>
      </c>
      <c r="I4" s="44">
        <f>Tabla134567891013[[#This Row],[Nº Mujeres]]+Tabla134567891013[[#This Row],[Nº Hombres]]</f>
        <v>20</v>
      </c>
    </row>
    <row r="5" spans="1:9" ht="15" x14ac:dyDescent="0.25">
      <c r="A5" s="11">
        <v>2018</v>
      </c>
      <c r="B5" s="11" t="s">
        <v>60</v>
      </c>
      <c r="C5" s="23" t="s">
        <v>37</v>
      </c>
      <c r="D5" s="11" t="s">
        <v>10</v>
      </c>
      <c r="E5" s="37">
        <v>102</v>
      </c>
      <c r="F5" s="43">
        <f>Tabla134567891013[[#This Row],[Nº Mujeres]]*100/$E$2</f>
        <v>2.4495677233429394</v>
      </c>
      <c r="G5" s="37">
        <v>79</v>
      </c>
      <c r="H5" s="20">
        <f>Tabla134567891013[[#This Row],[Nº Hombres]]*100/$G$2</f>
        <v>1.6155419222903886</v>
      </c>
      <c r="I5" s="44">
        <f>Tabla134567891013[[#This Row],[Nº Mujeres]]+Tabla134567891013[[#This Row],[Nº Hombres]]</f>
        <v>181</v>
      </c>
    </row>
    <row r="6" spans="1:9" ht="15" x14ac:dyDescent="0.25">
      <c r="A6" s="11">
        <v>2018</v>
      </c>
      <c r="B6" s="11" t="s">
        <v>60</v>
      </c>
      <c r="C6" s="23" t="s">
        <v>37</v>
      </c>
      <c r="D6" s="11" t="s">
        <v>11</v>
      </c>
      <c r="E6" s="37">
        <v>166</v>
      </c>
      <c r="F6" s="43">
        <f>Tabla134567891013[[#This Row],[Nº Mujeres]]*100/$E$2</f>
        <v>3.9865513928914504</v>
      </c>
      <c r="G6" s="37">
        <v>132</v>
      </c>
      <c r="H6" s="20">
        <f>Tabla134567891013[[#This Row],[Nº Hombres]]*100/$G$2</f>
        <v>2.6993865030674846</v>
      </c>
      <c r="I6" s="44">
        <f>Tabla134567891013[[#This Row],[Nº Mujeres]]+Tabla134567891013[[#This Row],[Nº Hombres]]</f>
        <v>298</v>
      </c>
    </row>
    <row r="7" spans="1:9" ht="15" x14ac:dyDescent="0.25">
      <c r="A7" s="11">
        <v>2018</v>
      </c>
      <c r="B7" s="11" t="s">
        <v>60</v>
      </c>
      <c r="C7" s="23" t="s">
        <v>37</v>
      </c>
      <c r="D7" s="11" t="s">
        <v>12</v>
      </c>
      <c r="E7" s="37">
        <v>125</v>
      </c>
      <c r="F7" s="43">
        <f>Tabla134567891013[[#This Row],[Nº Mujeres]]*100/$E$2</f>
        <v>3.0019212295869355</v>
      </c>
      <c r="G7" s="37">
        <v>112</v>
      </c>
      <c r="H7" s="20">
        <f>Tabla134567891013[[#This Row],[Nº Hombres]]*100/$G$2</f>
        <v>2.2903885480572597</v>
      </c>
      <c r="I7" s="44">
        <f>Tabla134567891013[[#This Row],[Nº Mujeres]]+Tabla134567891013[[#This Row],[Nº Hombres]]</f>
        <v>237</v>
      </c>
    </row>
    <row r="8" spans="1:9" ht="15" x14ac:dyDescent="0.25">
      <c r="A8" s="11">
        <v>2018</v>
      </c>
      <c r="B8" s="11" t="s">
        <v>60</v>
      </c>
      <c r="C8" s="23" t="s">
        <v>37</v>
      </c>
      <c r="D8" s="11" t="s">
        <v>13</v>
      </c>
      <c r="E8" s="37">
        <v>194</v>
      </c>
      <c r="F8" s="43">
        <f>Tabla134567891013[[#This Row],[Nº Mujeres]]*100/$E$2</f>
        <v>4.658981748318924</v>
      </c>
      <c r="G8" s="37">
        <v>170</v>
      </c>
      <c r="H8" s="20">
        <f>Tabla134567891013[[#This Row],[Nº Hombres]]*100/$G$2</f>
        <v>3.4764826175869121</v>
      </c>
      <c r="I8" s="44">
        <f>Tabla134567891013[[#This Row],[Nº Mujeres]]+Tabla134567891013[[#This Row],[Nº Hombres]]</f>
        <v>364</v>
      </c>
    </row>
    <row r="9" spans="1:9" ht="15" x14ac:dyDescent="0.25">
      <c r="A9" s="11">
        <v>2018</v>
      </c>
      <c r="B9" s="11" t="s">
        <v>60</v>
      </c>
      <c r="C9" s="23" t="s">
        <v>37</v>
      </c>
      <c r="D9" s="11" t="s">
        <v>14</v>
      </c>
      <c r="E9" s="37">
        <v>280</v>
      </c>
      <c r="F9" s="43">
        <f>Tabla134567891013[[#This Row],[Nº Mujeres]]*100/$E$2</f>
        <v>6.7243035542747362</v>
      </c>
      <c r="G9" s="37">
        <v>313</v>
      </c>
      <c r="H9" s="20">
        <f>Tabla134567891013[[#This Row],[Nº Hombres]]*100/$G$2</f>
        <v>6.4008179959100202</v>
      </c>
      <c r="I9" s="44">
        <f>Tabla134567891013[[#This Row],[Nº Mujeres]]+Tabla134567891013[[#This Row],[Nº Hombres]]</f>
        <v>593</v>
      </c>
    </row>
    <row r="10" spans="1:9" ht="15" x14ac:dyDescent="0.25">
      <c r="A10" s="11">
        <v>2018</v>
      </c>
      <c r="B10" s="11" t="s">
        <v>60</v>
      </c>
      <c r="C10" s="23" t="s">
        <v>37</v>
      </c>
      <c r="D10" s="11" t="s">
        <v>15</v>
      </c>
      <c r="E10" s="37">
        <v>384</v>
      </c>
      <c r="F10" s="43">
        <f>Tabla134567891013[[#This Row],[Nº Mujeres]]*100/$E$2</f>
        <v>9.2219020172910664</v>
      </c>
      <c r="G10" s="37">
        <v>488</v>
      </c>
      <c r="H10" s="20">
        <f>Tabla134567891013[[#This Row],[Nº Hombres]]*100/$G$2</f>
        <v>9.9795501022494886</v>
      </c>
      <c r="I10" s="44">
        <f>Tabla134567891013[[#This Row],[Nº Mujeres]]+Tabla134567891013[[#This Row],[Nº Hombres]]</f>
        <v>872</v>
      </c>
    </row>
    <row r="11" spans="1:9" ht="15" x14ac:dyDescent="0.25">
      <c r="A11" s="11">
        <v>2018</v>
      </c>
      <c r="B11" s="11" t="s">
        <v>60</v>
      </c>
      <c r="C11" s="23" t="s">
        <v>37</v>
      </c>
      <c r="D11" s="11" t="s">
        <v>16</v>
      </c>
      <c r="E11" s="37">
        <v>524</v>
      </c>
      <c r="F11" s="43">
        <f>Tabla134567891013[[#This Row],[Nº Mujeres]]*100/$E$2</f>
        <v>12.584053794428435</v>
      </c>
      <c r="G11" s="37">
        <v>637</v>
      </c>
      <c r="H11" s="20">
        <f>Tabla134567891013[[#This Row],[Nº Hombres]]*100/$G$2</f>
        <v>13.026584867075664</v>
      </c>
      <c r="I11" s="44">
        <f>Tabla134567891013[[#This Row],[Nº Mujeres]]+Tabla134567891013[[#This Row],[Nº Hombres]]</f>
        <v>1161</v>
      </c>
    </row>
    <row r="12" spans="1:9" ht="15" x14ac:dyDescent="0.25">
      <c r="A12" s="11">
        <v>2018</v>
      </c>
      <c r="B12" s="11" t="s">
        <v>60</v>
      </c>
      <c r="C12" s="23" t="s">
        <v>37</v>
      </c>
      <c r="D12" s="11" t="s">
        <v>17</v>
      </c>
      <c r="E12" s="37">
        <v>507</v>
      </c>
      <c r="F12" s="43">
        <f>Tabla134567891013[[#This Row],[Nº Mujeres]]*100/$E$2</f>
        <v>12.17579250720461</v>
      </c>
      <c r="G12" s="37">
        <v>622</v>
      </c>
      <c r="H12" s="20">
        <f>Tabla134567891013[[#This Row],[Nº Hombres]]*100/$G$2</f>
        <v>12.719836400817996</v>
      </c>
      <c r="I12" s="44">
        <f>Tabla134567891013[[#This Row],[Nº Mujeres]]+Tabla134567891013[[#This Row],[Nº Hombres]]</f>
        <v>1129</v>
      </c>
    </row>
    <row r="13" spans="1:9" ht="15" x14ac:dyDescent="0.25">
      <c r="A13" s="11">
        <v>2018</v>
      </c>
      <c r="B13" s="11" t="s">
        <v>60</v>
      </c>
      <c r="C13" s="23" t="s">
        <v>37</v>
      </c>
      <c r="D13" s="11" t="s">
        <v>18</v>
      </c>
      <c r="E13" s="37">
        <v>473</v>
      </c>
      <c r="F13" s="43">
        <f>Tabla134567891013[[#This Row],[Nº Mujeres]]*100/$E$2</f>
        <v>11.359269932756964</v>
      </c>
      <c r="G13" s="37">
        <v>556</v>
      </c>
      <c r="H13" s="20">
        <f>Tabla134567891013[[#This Row],[Nº Hombres]]*100/$G$2</f>
        <v>11.370143149284253</v>
      </c>
      <c r="I13" s="44">
        <f>Tabla134567891013[[#This Row],[Nº Mujeres]]+Tabla134567891013[[#This Row],[Nº Hombres]]</f>
        <v>1029</v>
      </c>
    </row>
    <row r="14" spans="1:9" ht="15" x14ac:dyDescent="0.25">
      <c r="A14" s="11">
        <v>2018</v>
      </c>
      <c r="B14" s="11" t="s">
        <v>60</v>
      </c>
      <c r="C14" s="23" t="s">
        <v>37</v>
      </c>
      <c r="D14" s="11" t="s">
        <v>19</v>
      </c>
      <c r="E14" s="37">
        <v>380</v>
      </c>
      <c r="F14" s="43">
        <f>Tabla134567891013[[#This Row],[Nº Mujeres]]*100/$E$2</f>
        <v>9.1258405379442848</v>
      </c>
      <c r="G14" s="37">
        <v>509</v>
      </c>
      <c r="H14" s="20">
        <f>Tabla134567891013[[#This Row],[Nº Hombres]]*100/$G$2</f>
        <v>10.408997955010225</v>
      </c>
      <c r="I14" s="44">
        <f>Tabla134567891013[[#This Row],[Nº Mujeres]]+Tabla134567891013[[#This Row],[Nº Hombres]]</f>
        <v>889</v>
      </c>
    </row>
    <row r="15" spans="1:9" ht="15" x14ac:dyDescent="0.25">
      <c r="A15" s="11">
        <v>2018</v>
      </c>
      <c r="B15" s="11" t="s">
        <v>60</v>
      </c>
      <c r="C15" s="23" t="s">
        <v>37</v>
      </c>
      <c r="D15" s="11" t="s">
        <v>20</v>
      </c>
      <c r="E15" s="37">
        <v>358</v>
      </c>
      <c r="F15" s="43">
        <f>Tabla134567891013[[#This Row],[Nº Mujeres]]*100/$E$2</f>
        <v>8.5975024015369836</v>
      </c>
      <c r="G15" s="37">
        <v>504</v>
      </c>
      <c r="H15" s="20">
        <f>Tabla134567891013[[#This Row],[Nº Hombres]]*100/$G$2</f>
        <v>10.306748466257668</v>
      </c>
      <c r="I15" s="44">
        <f>Tabla134567891013[[#This Row],[Nº Mujeres]]+Tabla134567891013[[#This Row],[Nº Hombres]]</f>
        <v>862</v>
      </c>
    </row>
    <row r="16" spans="1:9" ht="15" x14ac:dyDescent="0.25">
      <c r="A16" s="11">
        <v>2018</v>
      </c>
      <c r="B16" s="11" t="s">
        <v>60</v>
      </c>
      <c r="C16" s="23" t="s">
        <v>37</v>
      </c>
      <c r="D16" s="11" t="s">
        <v>21</v>
      </c>
      <c r="E16" s="37">
        <v>275</v>
      </c>
      <c r="F16" s="43">
        <f>Tabla134567891013[[#This Row],[Nº Mujeres]]*100/$E$2</f>
        <v>6.604226705091258</v>
      </c>
      <c r="G16" s="37">
        <v>387</v>
      </c>
      <c r="H16" s="20">
        <f>Tabla134567891013[[#This Row],[Nº Hombres]]*100/$G$2</f>
        <v>7.9141104294478524</v>
      </c>
      <c r="I16" s="44">
        <f>Tabla134567891013[[#This Row],[Nº Mujeres]]+Tabla134567891013[[#This Row],[Nº Hombres]]</f>
        <v>662</v>
      </c>
    </row>
    <row r="17" spans="1:9" ht="15" x14ac:dyDescent="0.25">
      <c r="A17" s="11">
        <v>2018</v>
      </c>
      <c r="B17" s="11" t="s">
        <v>60</v>
      </c>
      <c r="C17" s="23" t="s">
        <v>37</v>
      </c>
      <c r="D17" s="11" t="s">
        <v>22</v>
      </c>
      <c r="E17" s="37">
        <v>383</v>
      </c>
      <c r="F17" s="43">
        <f>Tabla134567891013[[#This Row],[Nº Mujeres]]*100/$E$2</f>
        <v>9.1978866474543715</v>
      </c>
      <c r="G17" s="37">
        <v>374</v>
      </c>
      <c r="H17" s="20">
        <f>Tabla134567891013[[#This Row],[Nº Hombres]]*100/$G$2</f>
        <v>7.6482617586912065</v>
      </c>
      <c r="I17" s="44">
        <f>Tabla134567891013[[#This Row],[Nº Mujeres]]+Tabla134567891013[[#This Row],[Nº Hombres]]</f>
        <v>757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7"/>
  <sheetViews>
    <sheetView workbookViewId="0">
      <selection activeCell="L17" sqref="L17"/>
    </sheetView>
  </sheetViews>
  <sheetFormatPr baseColWidth="10" defaultRowHeight="15" x14ac:dyDescent="0.25"/>
  <cols>
    <col min="2" max="2" width="21" customWidth="1"/>
    <col min="4" max="4" width="27.7109375" customWidth="1"/>
  </cols>
  <sheetData>
    <row r="1" spans="1:9" x14ac:dyDescent="0.25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x14ac:dyDescent="0.25">
      <c r="A2" s="11">
        <v>2018</v>
      </c>
      <c r="B2" s="11" t="s">
        <v>60</v>
      </c>
      <c r="C2" s="23" t="s">
        <v>61</v>
      </c>
      <c r="D2" s="11" t="s">
        <v>7</v>
      </c>
      <c r="E2" s="37">
        <v>1278</v>
      </c>
      <c r="F2" s="41">
        <f>Tabla13456789101315161718[[#This Row],[Nº Mujeres]]*100/Tabla13456789101315161718[[#This Row],[Total]]</f>
        <v>44.545137678633672</v>
      </c>
      <c r="G2" s="37">
        <v>1591</v>
      </c>
      <c r="H2" s="20">
        <f>Tabla13456789101315161718[[#This Row],[Nº Hombres]]*100/201</f>
        <v>791.54228855721396</v>
      </c>
      <c r="I2" s="37">
        <v>2869</v>
      </c>
    </row>
    <row r="3" spans="1:9" ht="25.5" customHeight="1" x14ac:dyDescent="0.25">
      <c r="A3" s="11">
        <v>2018</v>
      </c>
      <c r="B3" s="11" t="s">
        <v>60</v>
      </c>
      <c r="C3" s="23" t="s">
        <v>61</v>
      </c>
      <c r="D3" s="42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</row>
    <row r="4" spans="1:9" x14ac:dyDescent="0.25">
      <c r="A4" s="11">
        <v>2018</v>
      </c>
      <c r="B4" s="11" t="s">
        <v>60</v>
      </c>
      <c r="C4" s="23" t="s">
        <v>61</v>
      </c>
      <c r="D4" s="11" t="s">
        <v>9</v>
      </c>
      <c r="E4" s="37">
        <v>2</v>
      </c>
      <c r="F4" s="43">
        <f>Tabla13456789101315161718[[#This Row],[Nº Mujeres]]*100/$E$2</f>
        <v>0.1564945226917058</v>
      </c>
      <c r="G4" s="37">
        <v>3</v>
      </c>
      <c r="H4" s="20">
        <f>Tabla13456789101315161718[[#This Row],[Nº Hombres]]*100/$G$2</f>
        <v>0.18856065367693275</v>
      </c>
      <c r="I4" s="44">
        <f>Tabla13456789101315161718[[#This Row],[Nº Mujeres]]+Tabla13456789101315161718[[#This Row],[Nº Hombres]]</f>
        <v>5</v>
      </c>
    </row>
    <row r="5" spans="1:9" x14ac:dyDescent="0.25">
      <c r="A5" s="11">
        <v>2018</v>
      </c>
      <c r="B5" s="11" t="s">
        <v>60</v>
      </c>
      <c r="C5" s="23" t="s">
        <v>61</v>
      </c>
      <c r="D5" s="11" t="s">
        <v>10</v>
      </c>
      <c r="E5" s="37">
        <v>38</v>
      </c>
      <c r="F5" s="43">
        <f>Tabla13456789101315161718[[#This Row],[Nº Mujeres]]*100/$E$2</f>
        <v>2.9733959311424099</v>
      </c>
      <c r="G5" s="37">
        <v>23</v>
      </c>
      <c r="H5" s="20">
        <f>Tabla13456789101315161718[[#This Row],[Nº Hombres]]*100/$G$2</f>
        <v>1.4456316781898177</v>
      </c>
      <c r="I5" s="44">
        <f>Tabla13456789101315161718[[#This Row],[Nº Mujeres]]+Tabla13456789101315161718[[#This Row],[Nº Hombres]]</f>
        <v>61</v>
      </c>
    </row>
    <row r="6" spans="1:9" x14ac:dyDescent="0.25">
      <c r="A6" s="11">
        <v>2018</v>
      </c>
      <c r="B6" s="11" t="s">
        <v>60</v>
      </c>
      <c r="C6" s="23" t="s">
        <v>61</v>
      </c>
      <c r="D6" s="11" t="s">
        <v>11</v>
      </c>
      <c r="E6" s="37">
        <v>54</v>
      </c>
      <c r="F6" s="43">
        <f>Tabla13456789101315161718[[#This Row],[Nº Mujeres]]*100/$E$2</f>
        <v>4.225352112676056</v>
      </c>
      <c r="G6" s="37">
        <v>49</v>
      </c>
      <c r="H6" s="20">
        <f>Tabla13456789101315161718[[#This Row],[Nº Hombres]]*100/$G$2</f>
        <v>3.0798240100565684</v>
      </c>
      <c r="I6" s="44">
        <f>Tabla13456789101315161718[[#This Row],[Nº Mujeres]]+Tabla13456789101315161718[[#This Row],[Nº Hombres]]</f>
        <v>103</v>
      </c>
    </row>
    <row r="7" spans="1:9" x14ac:dyDescent="0.25">
      <c r="A7" s="11">
        <v>2018</v>
      </c>
      <c r="B7" s="11" t="s">
        <v>60</v>
      </c>
      <c r="C7" s="23" t="s">
        <v>61</v>
      </c>
      <c r="D7" s="11" t="s">
        <v>12</v>
      </c>
      <c r="E7" s="37">
        <v>46</v>
      </c>
      <c r="F7" s="43">
        <f>Tabla13456789101315161718[[#This Row],[Nº Mujeres]]*100/$E$2</f>
        <v>3.5993740219092332</v>
      </c>
      <c r="G7" s="37">
        <v>40</v>
      </c>
      <c r="H7" s="20">
        <f>Tabla13456789101315161718[[#This Row],[Nº Hombres]]*100/$G$2</f>
        <v>2.5141420490257698</v>
      </c>
      <c r="I7" s="44">
        <f>Tabla13456789101315161718[[#This Row],[Nº Mujeres]]+Tabla13456789101315161718[[#This Row],[Nº Hombres]]</f>
        <v>86</v>
      </c>
    </row>
    <row r="8" spans="1:9" x14ac:dyDescent="0.25">
      <c r="A8" s="11">
        <v>2018</v>
      </c>
      <c r="B8" s="11" t="s">
        <v>60</v>
      </c>
      <c r="C8" s="23" t="s">
        <v>61</v>
      </c>
      <c r="D8" s="11" t="s">
        <v>13</v>
      </c>
      <c r="E8" s="37">
        <v>44</v>
      </c>
      <c r="F8" s="43">
        <f>Tabla13456789101315161718[[#This Row],[Nº Mujeres]]*100/$E$2</f>
        <v>3.4428794992175273</v>
      </c>
      <c r="G8" s="37">
        <v>39</v>
      </c>
      <c r="H8" s="20">
        <f>Tabla13456789101315161718[[#This Row],[Nº Hombres]]*100/$G$2</f>
        <v>2.4512884978001259</v>
      </c>
      <c r="I8" s="44">
        <f>Tabla13456789101315161718[[#This Row],[Nº Mujeres]]+Tabla13456789101315161718[[#This Row],[Nº Hombres]]</f>
        <v>83</v>
      </c>
    </row>
    <row r="9" spans="1:9" x14ac:dyDescent="0.25">
      <c r="A9" s="11">
        <v>2018</v>
      </c>
      <c r="B9" s="11" t="s">
        <v>60</v>
      </c>
      <c r="C9" s="23" t="s">
        <v>61</v>
      </c>
      <c r="D9" s="11" t="s">
        <v>14</v>
      </c>
      <c r="E9" s="37">
        <v>76</v>
      </c>
      <c r="F9" s="43">
        <f>Tabla13456789101315161718[[#This Row],[Nº Mujeres]]*100/$E$2</f>
        <v>5.9467918622848197</v>
      </c>
      <c r="G9" s="37">
        <v>68</v>
      </c>
      <c r="H9" s="20">
        <f>Tabla13456789101315161718[[#This Row],[Nº Hombres]]*100/$G$2</f>
        <v>4.274041483343809</v>
      </c>
      <c r="I9" s="44">
        <f>Tabla13456789101315161718[[#This Row],[Nº Mujeres]]+Tabla13456789101315161718[[#This Row],[Nº Hombres]]</f>
        <v>144</v>
      </c>
    </row>
    <row r="10" spans="1:9" x14ac:dyDescent="0.25">
      <c r="A10" s="11">
        <v>2018</v>
      </c>
      <c r="B10" s="11" t="s">
        <v>60</v>
      </c>
      <c r="C10" s="23" t="s">
        <v>61</v>
      </c>
      <c r="D10" s="11" t="s">
        <v>15</v>
      </c>
      <c r="E10" s="37">
        <v>115</v>
      </c>
      <c r="F10" s="43">
        <f>Tabla13456789101315161718[[#This Row],[Nº Mujeres]]*100/$E$2</f>
        <v>8.9984350547730827</v>
      </c>
      <c r="G10" s="37">
        <v>131</v>
      </c>
      <c r="H10" s="20">
        <f>Tabla13456789101315161718[[#This Row],[Nº Hombres]]*100/$G$2</f>
        <v>8.2338152105593974</v>
      </c>
      <c r="I10" s="44">
        <f>Tabla13456789101315161718[[#This Row],[Nº Mujeres]]+Tabla13456789101315161718[[#This Row],[Nº Hombres]]</f>
        <v>246</v>
      </c>
    </row>
    <row r="11" spans="1:9" x14ac:dyDescent="0.25">
      <c r="A11" s="11">
        <v>2018</v>
      </c>
      <c r="B11" s="11" t="s">
        <v>60</v>
      </c>
      <c r="C11" s="23" t="s">
        <v>61</v>
      </c>
      <c r="D11" s="11" t="s">
        <v>16</v>
      </c>
      <c r="E11" s="37">
        <v>183</v>
      </c>
      <c r="F11" s="43">
        <f>Tabla13456789101315161718[[#This Row],[Nº Mujeres]]*100/$E$2</f>
        <v>14.31924882629108</v>
      </c>
      <c r="G11" s="37">
        <v>245</v>
      </c>
      <c r="H11" s="20">
        <f>Tabla13456789101315161718[[#This Row],[Nº Hombres]]*100/$G$2</f>
        <v>15.399120050282841</v>
      </c>
      <c r="I11" s="44">
        <f>Tabla13456789101315161718[[#This Row],[Nº Mujeres]]+Tabla13456789101315161718[[#This Row],[Nº Hombres]]</f>
        <v>428</v>
      </c>
    </row>
    <row r="12" spans="1:9" x14ac:dyDescent="0.25">
      <c r="A12" s="11">
        <v>2018</v>
      </c>
      <c r="B12" s="11" t="s">
        <v>60</v>
      </c>
      <c r="C12" s="23" t="s">
        <v>61</v>
      </c>
      <c r="D12" s="11" t="s">
        <v>17</v>
      </c>
      <c r="E12" s="37">
        <v>149</v>
      </c>
      <c r="F12" s="43">
        <f>Tabla13456789101315161718[[#This Row],[Nº Mujeres]]*100/$E$2</f>
        <v>11.658841940532081</v>
      </c>
      <c r="G12" s="37">
        <v>231</v>
      </c>
      <c r="H12" s="20">
        <f>Tabla13456789101315161718[[#This Row],[Nº Hombres]]*100/$G$2</f>
        <v>14.519170333123821</v>
      </c>
      <c r="I12" s="44">
        <f>Tabla13456789101315161718[[#This Row],[Nº Mujeres]]+Tabla13456789101315161718[[#This Row],[Nº Hombres]]</f>
        <v>380</v>
      </c>
    </row>
    <row r="13" spans="1:9" x14ac:dyDescent="0.25">
      <c r="A13" s="11">
        <v>2018</v>
      </c>
      <c r="B13" s="11" t="s">
        <v>60</v>
      </c>
      <c r="C13" s="23" t="s">
        <v>61</v>
      </c>
      <c r="D13" s="11" t="s">
        <v>18</v>
      </c>
      <c r="E13" s="37">
        <v>169</v>
      </c>
      <c r="F13" s="43">
        <f>Tabla13456789101315161718[[#This Row],[Nº Mujeres]]*100/$E$2</f>
        <v>13.223787167449139</v>
      </c>
      <c r="G13" s="37">
        <v>211</v>
      </c>
      <c r="H13" s="20">
        <f>Tabla13456789101315161718[[#This Row],[Nº Hombres]]*100/$G$2</f>
        <v>13.262099308610937</v>
      </c>
      <c r="I13" s="44">
        <f>Tabla13456789101315161718[[#This Row],[Nº Mujeres]]+Tabla13456789101315161718[[#This Row],[Nº Hombres]]</f>
        <v>380</v>
      </c>
    </row>
    <row r="14" spans="1:9" x14ac:dyDescent="0.25">
      <c r="A14" s="11">
        <v>2018</v>
      </c>
      <c r="B14" s="11" t="s">
        <v>60</v>
      </c>
      <c r="C14" s="23" t="s">
        <v>61</v>
      </c>
      <c r="D14" s="11" t="s">
        <v>19</v>
      </c>
      <c r="E14" s="37">
        <v>108</v>
      </c>
      <c r="F14" s="43">
        <f>Tabla13456789101315161718[[#This Row],[Nº Mujeres]]*100/$E$2</f>
        <v>8.4507042253521121</v>
      </c>
      <c r="G14" s="37">
        <v>171</v>
      </c>
      <c r="H14" s="20">
        <f>Tabla13456789101315161718[[#This Row],[Nº Hombres]]*100/$G$2</f>
        <v>10.747957259585167</v>
      </c>
      <c r="I14" s="44">
        <f>Tabla13456789101315161718[[#This Row],[Nº Mujeres]]+Tabla13456789101315161718[[#This Row],[Nº Hombres]]</f>
        <v>279</v>
      </c>
    </row>
    <row r="15" spans="1:9" x14ac:dyDescent="0.25">
      <c r="A15" s="11">
        <v>2018</v>
      </c>
      <c r="B15" s="11" t="s">
        <v>60</v>
      </c>
      <c r="C15" s="23" t="s">
        <v>61</v>
      </c>
      <c r="D15" s="11" t="s">
        <v>20</v>
      </c>
      <c r="E15" s="37">
        <v>95</v>
      </c>
      <c r="F15" s="43">
        <f>Tabla13456789101315161718[[#This Row],[Nº Mujeres]]*100/$E$2</f>
        <v>7.4334898278560253</v>
      </c>
      <c r="G15" s="37">
        <v>132</v>
      </c>
      <c r="H15" s="20">
        <f>Tabla13456789101315161718[[#This Row],[Nº Hombres]]*100/$G$2</f>
        <v>8.2966687617850408</v>
      </c>
      <c r="I15" s="44">
        <f>Tabla13456789101315161718[[#This Row],[Nº Mujeres]]+Tabla13456789101315161718[[#This Row],[Nº Hombres]]</f>
        <v>227</v>
      </c>
    </row>
    <row r="16" spans="1:9" x14ac:dyDescent="0.25">
      <c r="A16" s="11">
        <v>2018</v>
      </c>
      <c r="B16" s="11" t="s">
        <v>60</v>
      </c>
      <c r="C16" s="23" t="s">
        <v>61</v>
      </c>
      <c r="D16" s="11" t="s">
        <v>21</v>
      </c>
      <c r="E16" s="37">
        <v>75</v>
      </c>
      <c r="F16" s="43">
        <f>Tabla13456789101315161718[[#This Row],[Nº Mujeres]]*100/$E$2</f>
        <v>5.868544600938967</v>
      </c>
      <c r="G16" s="37">
        <v>125</v>
      </c>
      <c r="H16" s="20">
        <f>Tabla13456789101315161718[[#This Row],[Nº Hombres]]*100/$G$2</f>
        <v>7.8566939032055307</v>
      </c>
      <c r="I16" s="44">
        <f>Tabla13456789101315161718[[#This Row],[Nº Mujeres]]+Tabla13456789101315161718[[#This Row],[Nº Hombres]]</f>
        <v>200</v>
      </c>
    </row>
    <row r="17" spans="1:9" x14ac:dyDescent="0.25">
      <c r="A17" s="11">
        <v>2018</v>
      </c>
      <c r="B17" s="11" t="s">
        <v>60</v>
      </c>
      <c r="C17" s="23" t="s">
        <v>61</v>
      </c>
      <c r="D17" s="11" t="s">
        <v>22</v>
      </c>
      <c r="E17" s="37">
        <v>124</v>
      </c>
      <c r="F17" s="43">
        <f>Tabla13456789101315161718[[#This Row],[Nº Mujeres]]*100/$E$2</f>
        <v>9.7026604068857587</v>
      </c>
      <c r="G17" s="37">
        <v>123</v>
      </c>
      <c r="H17" s="20">
        <f>Tabla13456789101315161718[[#This Row],[Nº Hombres]]*100/$G$2</f>
        <v>7.730986800754243</v>
      </c>
      <c r="I17" s="44">
        <f>Tabla13456789101315161718[[#This Row],[Nº Mujeres]]+Tabla13456789101315161718[[#This Row],[Nº Hombres]]</f>
        <v>247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7"/>
  <sheetViews>
    <sheetView workbookViewId="0">
      <selection activeCell="F12" sqref="F12"/>
    </sheetView>
  </sheetViews>
  <sheetFormatPr baseColWidth="10" defaultColWidth="21.140625" defaultRowHeight="12.75" x14ac:dyDescent="0.2"/>
  <cols>
    <col min="1" max="16384" width="21.140625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45" t="s">
        <v>24</v>
      </c>
      <c r="E1" s="46" t="s">
        <v>2</v>
      </c>
      <c r="F1" s="47" t="s">
        <v>3</v>
      </c>
      <c r="G1" s="46" t="s">
        <v>4</v>
      </c>
      <c r="H1" s="46" t="s">
        <v>5</v>
      </c>
      <c r="I1" s="48" t="s">
        <v>6</v>
      </c>
    </row>
    <row r="2" spans="1:9" ht="31.5" customHeight="1" x14ac:dyDescent="0.25">
      <c r="A2" s="11">
        <v>2018</v>
      </c>
      <c r="B2" s="11" t="s">
        <v>60</v>
      </c>
      <c r="C2" s="23" t="s">
        <v>31</v>
      </c>
      <c r="D2" s="49" t="s">
        <v>42</v>
      </c>
      <c r="E2" s="37">
        <v>2914</v>
      </c>
      <c r="F2" s="41">
        <f>Tabla134567[[#This Row],[Nº Mujeres]]*100/Tabla134567[[#This Row],[Total]]</f>
        <v>45.724148752549823</v>
      </c>
      <c r="G2" s="37">
        <v>3459</v>
      </c>
      <c r="H2" s="20">
        <f>Tabla134567[[#This Row],[Nº Hombres]]*100/6419</f>
        <v>53.886898270758685</v>
      </c>
      <c r="I2" s="50">
        <v>6373</v>
      </c>
    </row>
    <row r="3" spans="1:9" ht="25.5" x14ac:dyDescent="0.2">
      <c r="A3" s="11">
        <v>2018</v>
      </c>
      <c r="B3" s="11" t="s">
        <v>60</v>
      </c>
      <c r="C3" s="23" t="s">
        <v>31</v>
      </c>
      <c r="D3" s="51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52" t="s">
        <v>26</v>
      </c>
    </row>
    <row r="4" spans="1:9" ht="26.25" x14ac:dyDescent="0.25">
      <c r="A4" s="11">
        <v>2018</v>
      </c>
      <c r="B4" s="11" t="s">
        <v>60</v>
      </c>
      <c r="C4" s="23" t="s">
        <v>31</v>
      </c>
      <c r="D4" s="49" t="s">
        <v>9</v>
      </c>
      <c r="E4" s="37">
        <v>10</v>
      </c>
      <c r="F4" s="43">
        <f>Tabla134567[[#This Row],[Nº Mujeres]]*100/$E$2</f>
        <v>0.34317089910775567</v>
      </c>
      <c r="G4" s="37">
        <v>4</v>
      </c>
      <c r="H4" s="20">
        <f>Tabla134567[[#This Row],[Nº Hombres]]*100/$G$2</f>
        <v>0.1156403584851113</v>
      </c>
      <c r="I4" s="53">
        <f>Tabla134567[[#This Row],[Nº Mujeres]]+Tabla134567[[#This Row],[Nº Hombres]]</f>
        <v>14</v>
      </c>
    </row>
    <row r="5" spans="1:9" ht="26.25" x14ac:dyDescent="0.25">
      <c r="A5" s="11">
        <v>2018</v>
      </c>
      <c r="B5" s="11" t="s">
        <v>60</v>
      </c>
      <c r="C5" s="23" t="s">
        <v>31</v>
      </c>
      <c r="D5" s="49" t="s">
        <v>10</v>
      </c>
      <c r="E5" s="37">
        <v>109</v>
      </c>
      <c r="F5" s="43">
        <f>Tabla134567[[#This Row],[Nº Mujeres]]*100/$E$2</f>
        <v>3.7405628002745366</v>
      </c>
      <c r="G5" s="37">
        <v>83</v>
      </c>
      <c r="H5" s="20">
        <f>Tabla134567[[#This Row],[Nº Hombres]]*100/$G$2</f>
        <v>2.3995374385660595</v>
      </c>
      <c r="I5" s="53">
        <f>Tabla134567[[#This Row],[Nº Mujeres]]+Tabla134567[[#This Row],[Nº Hombres]]</f>
        <v>192</v>
      </c>
    </row>
    <row r="6" spans="1:9" ht="26.25" x14ac:dyDescent="0.25">
      <c r="A6" s="11">
        <v>2018</v>
      </c>
      <c r="B6" s="11" t="s">
        <v>60</v>
      </c>
      <c r="C6" s="23" t="s">
        <v>31</v>
      </c>
      <c r="D6" s="49" t="s">
        <v>11</v>
      </c>
      <c r="E6" s="37">
        <v>145</v>
      </c>
      <c r="F6" s="43">
        <f>Tabla134567[[#This Row],[Nº Mujeres]]*100/$E$2</f>
        <v>4.9759780370624567</v>
      </c>
      <c r="G6" s="37">
        <v>156</v>
      </c>
      <c r="H6" s="20">
        <f>Tabla134567[[#This Row],[Nº Hombres]]*100/$G$2</f>
        <v>4.5099739809193409</v>
      </c>
      <c r="I6" s="53">
        <f>Tabla134567[[#This Row],[Nº Mujeres]]+Tabla134567[[#This Row],[Nº Hombres]]</f>
        <v>301</v>
      </c>
    </row>
    <row r="7" spans="1:9" ht="26.25" x14ac:dyDescent="0.25">
      <c r="A7" s="11">
        <v>2018</v>
      </c>
      <c r="B7" s="11" t="s">
        <v>60</v>
      </c>
      <c r="C7" s="23" t="s">
        <v>31</v>
      </c>
      <c r="D7" s="49" t="s">
        <v>12</v>
      </c>
      <c r="E7" s="37">
        <v>103</v>
      </c>
      <c r="F7" s="43">
        <f>Tabla134567[[#This Row],[Nº Mujeres]]*100/$E$2</f>
        <v>3.5346602608098832</v>
      </c>
      <c r="G7" s="37">
        <v>101</v>
      </c>
      <c r="H7" s="20">
        <f>Tabla134567[[#This Row],[Nº Hombres]]*100/$G$2</f>
        <v>2.9199190517490603</v>
      </c>
      <c r="I7" s="53">
        <f>Tabla134567[[#This Row],[Nº Mujeres]]+Tabla134567[[#This Row],[Nº Hombres]]</f>
        <v>204</v>
      </c>
    </row>
    <row r="8" spans="1:9" ht="26.25" x14ac:dyDescent="0.25">
      <c r="A8" s="11">
        <v>2018</v>
      </c>
      <c r="B8" s="11" t="s">
        <v>60</v>
      </c>
      <c r="C8" s="23" t="s">
        <v>31</v>
      </c>
      <c r="D8" s="49" t="s">
        <v>13</v>
      </c>
      <c r="E8" s="37">
        <v>97</v>
      </c>
      <c r="F8" s="43">
        <f>Tabla134567[[#This Row],[Nº Mujeres]]*100/$E$2</f>
        <v>3.3287577213452297</v>
      </c>
      <c r="G8" s="37">
        <v>126</v>
      </c>
      <c r="H8" s="20">
        <f>Tabla134567[[#This Row],[Nº Hombres]]*100/$G$2</f>
        <v>3.6426712922810061</v>
      </c>
      <c r="I8" s="53">
        <f>Tabla134567[[#This Row],[Nº Mujeres]]+Tabla134567[[#This Row],[Nº Hombres]]</f>
        <v>223</v>
      </c>
    </row>
    <row r="9" spans="1:9" ht="26.25" x14ac:dyDescent="0.25">
      <c r="A9" s="11">
        <v>2018</v>
      </c>
      <c r="B9" s="11" t="s">
        <v>60</v>
      </c>
      <c r="C9" s="23" t="s">
        <v>31</v>
      </c>
      <c r="D9" s="49" t="s">
        <v>14</v>
      </c>
      <c r="E9" s="37">
        <v>184</v>
      </c>
      <c r="F9" s="43">
        <f>Tabla134567[[#This Row],[Nº Mujeres]]*100/$E$2</f>
        <v>6.3143445435827044</v>
      </c>
      <c r="G9" s="37">
        <v>169</v>
      </c>
      <c r="H9" s="20">
        <f>Tabla134567[[#This Row],[Nº Hombres]]*100/$G$2</f>
        <v>4.8858051459959526</v>
      </c>
      <c r="I9" s="53">
        <f>Tabla134567[[#This Row],[Nº Mujeres]]+Tabla134567[[#This Row],[Nº Hombres]]</f>
        <v>353</v>
      </c>
    </row>
    <row r="10" spans="1:9" ht="26.25" x14ac:dyDescent="0.25">
      <c r="A10" s="11">
        <v>2018</v>
      </c>
      <c r="B10" s="11" t="s">
        <v>60</v>
      </c>
      <c r="C10" s="23" t="s">
        <v>31</v>
      </c>
      <c r="D10" s="49" t="s">
        <v>15</v>
      </c>
      <c r="E10" s="37">
        <v>293</v>
      </c>
      <c r="F10" s="43">
        <f>Tabla134567[[#This Row],[Nº Mujeres]]*100/$E$2</f>
        <v>10.054907343857241</v>
      </c>
      <c r="G10" s="37">
        <v>340</v>
      </c>
      <c r="H10" s="20">
        <f>Tabla134567[[#This Row],[Nº Hombres]]*100/$G$2</f>
        <v>9.8294304712344616</v>
      </c>
      <c r="I10" s="53">
        <f>Tabla134567[[#This Row],[Nº Mujeres]]+Tabla134567[[#This Row],[Nº Hombres]]</f>
        <v>633</v>
      </c>
    </row>
    <row r="11" spans="1:9" ht="26.25" x14ac:dyDescent="0.25">
      <c r="A11" s="11">
        <v>2018</v>
      </c>
      <c r="B11" s="11" t="s">
        <v>60</v>
      </c>
      <c r="C11" s="23" t="s">
        <v>31</v>
      </c>
      <c r="D11" s="49" t="s">
        <v>16</v>
      </c>
      <c r="E11" s="37">
        <v>339</v>
      </c>
      <c r="F11" s="43">
        <f>Tabla134567[[#This Row],[Nº Mujeres]]*100/$E$2</f>
        <v>11.633493479752916</v>
      </c>
      <c r="G11" s="37">
        <v>427</v>
      </c>
      <c r="H11" s="20">
        <f>Tabla134567[[#This Row],[Nº Hombres]]*100/$G$2</f>
        <v>12.344608268285631</v>
      </c>
      <c r="I11" s="53">
        <f>Tabla134567[[#This Row],[Nº Mujeres]]+Tabla134567[[#This Row],[Nº Hombres]]</f>
        <v>766</v>
      </c>
    </row>
    <row r="12" spans="1:9" ht="26.25" x14ac:dyDescent="0.25">
      <c r="A12" s="11">
        <v>2018</v>
      </c>
      <c r="B12" s="11" t="s">
        <v>60</v>
      </c>
      <c r="C12" s="23" t="s">
        <v>31</v>
      </c>
      <c r="D12" s="49" t="s">
        <v>17</v>
      </c>
      <c r="E12" s="37">
        <v>329</v>
      </c>
      <c r="F12" s="43">
        <f>Tabla134567[[#This Row],[Nº Mujeres]]*100/$E$2</f>
        <v>11.290322580645162</v>
      </c>
      <c r="G12" s="37">
        <v>410</v>
      </c>
      <c r="H12" s="20">
        <f>Tabla134567[[#This Row],[Nº Hombres]]*100/$G$2</f>
        <v>11.853136744723908</v>
      </c>
      <c r="I12" s="53">
        <f>Tabla134567[[#This Row],[Nº Mujeres]]+Tabla134567[[#This Row],[Nº Hombres]]</f>
        <v>739</v>
      </c>
    </row>
    <row r="13" spans="1:9" ht="26.25" x14ac:dyDescent="0.25">
      <c r="A13" s="11">
        <v>2018</v>
      </c>
      <c r="B13" s="11" t="s">
        <v>60</v>
      </c>
      <c r="C13" s="23" t="s">
        <v>31</v>
      </c>
      <c r="D13" s="49" t="s">
        <v>18</v>
      </c>
      <c r="E13" s="37">
        <v>343</v>
      </c>
      <c r="F13" s="43">
        <f>Tabla134567[[#This Row],[Nº Mujeres]]*100/$E$2</f>
        <v>11.77076183939602</v>
      </c>
      <c r="G13" s="37">
        <v>366</v>
      </c>
      <c r="H13" s="20">
        <f>Tabla134567[[#This Row],[Nº Hombres]]*100/$G$2</f>
        <v>10.581092801387685</v>
      </c>
      <c r="I13" s="53">
        <f>Tabla134567[[#This Row],[Nº Mujeres]]+Tabla134567[[#This Row],[Nº Hombres]]</f>
        <v>709</v>
      </c>
    </row>
    <row r="14" spans="1:9" ht="26.25" x14ac:dyDescent="0.25">
      <c r="A14" s="11">
        <v>2018</v>
      </c>
      <c r="B14" s="11" t="s">
        <v>60</v>
      </c>
      <c r="C14" s="23" t="s">
        <v>31</v>
      </c>
      <c r="D14" s="49" t="s">
        <v>19</v>
      </c>
      <c r="E14" s="37">
        <v>273</v>
      </c>
      <c r="F14" s="43">
        <f>Tabla134567[[#This Row],[Nº Mujeres]]*100/$E$2</f>
        <v>9.3685655456417294</v>
      </c>
      <c r="G14" s="37">
        <v>355</v>
      </c>
      <c r="H14" s="20">
        <f>Tabla134567[[#This Row],[Nº Hombres]]*100/$G$2</f>
        <v>10.263081815553628</v>
      </c>
      <c r="I14" s="53">
        <f>Tabla134567[[#This Row],[Nº Mujeres]]+Tabla134567[[#This Row],[Nº Hombres]]</f>
        <v>628</v>
      </c>
    </row>
    <row r="15" spans="1:9" ht="26.25" x14ac:dyDescent="0.25">
      <c r="A15" s="11">
        <v>2018</v>
      </c>
      <c r="B15" s="11" t="s">
        <v>60</v>
      </c>
      <c r="C15" s="23" t="s">
        <v>31</v>
      </c>
      <c r="D15" s="49" t="s">
        <v>20</v>
      </c>
      <c r="E15" s="37">
        <v>230</v>
      </c>
      <c r="F15" s="43">
        <f>Tabla134567[[#This Row],[Nº Mujeres]]*100/$E$2</f>
        <v>7.89293067947838</v>
      </c>
      <c r="G15" s="37">
        <v>355</v>
      </c>
      <c r="H15" s="20">
        <f>Tabla134567[[#This Row],[Nº Hombres]]*100/$G$2</f>
        <v>10.263081815553628</v>
      </c>
      <c r="I15" s="53">
        <f>Tabla134567[[#This Row],[Nº Mujeres]]+Tabla134567[[#This Row],[Nº Hombres]]</f>
        <v>585</v>
      </c>
    </row>
    <row r="16" spans="1:9" ht="26.25" x14ac:dyDescent="0.25">
      <c r="A16" s="11">
        <v>2018</v>
      </c>
      <c r="B16" s="11" t="s">
        <v>60</v>
      </c>
      <c r="C16" s="23" t="s">
        <v>31</v>
      </c>
      <c r="D16" s="49" t="s">
        <v>21</v>
      </c>
      <c r="E16" s="37">
        <v>184</v>
      </c>
      <c r="F16" s="43">
        <f>Tabla134567[[#This Row],[Nº Mujeres]]*100/$E$2</f>
        <v>6.3143445435827044</v>
      </c>
      <c r="G16" s="37">
        <v>235</v>
      </c>
      <c r="H16" s="20">
        <f>Tabla134567[[#This Row],[Nº Hombres]]*100/$G$2</f>
        <v>6.7938710610002895</v>
      </c>
      <c r="I16" s="53">
        <f>Tabla134567[[#This Row],[Nº Mujeres]]+Tabla134567[[#This Row],[Nº Hombres]]</f>
        <v>419</v>
      </c>
    </row>
    <row r="17" spans="1:9" ht="26.25" x14ac:dyDescent="0.25">
      <c r="A17" s="11">
        <v>2018</v>
      </c>
      <c r="B17" s="11" t="s">
        <v>60</v>
      </c>
      <c r="C17" s="23" t="s">
        <v>31</v>
      </c>
      <c r="D17" s="54" t="s">
        <v>22</v>
      </c>
      <c r="E17" s="55">
        <v>275</v>
      </c>
      <c r="F17" s="56">
        <f>Tabla134567[[#This Row],[Nº Mujeres]]*100/$E$2</f>
        <v>9.4371997254632802</v>
      </c>
      <c r="G17" s="55">
        <v>332</v>
      </c>
      <c r="H17" s="57">
        <f>Tabla134567[[#This Row],[Nº Hombres]]*100/$G$2</f>
        <v>9.598149754264238</v>
      </c>
      <c r="I17" s="58">
        <f>Tabla134567[[#This Row],[Nº Mujeres]]+Tabla134567[[#This Row],[Nº Hombres]]</f>
        <v>607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7"/>
  <sheetViews>
    <sheetView workbookViewId="0">
      <selection activeCell="D2" sqref="D2:I17"/>
    </sheetView>
  </sheetViews>
  <sheetFormatPr baseColWidth="10" defaultColWidth="17.42578125" defaultRowHeight="12.75" x14ac:dyDescent="0.2"/>
  <cols>
    <col min="1" max="16384" width="17.42578125" style="22"/>
  </cols>
  <sheetData>
    <row r="1" spans="1:9" x14ac:dyDescent="0.2">
      <c r="A1" s="33" t="s">
        <v>0</v>
      </c>
      <c r="B1" s="33" t="s">
        <v>1</v>
      </c>
      <c r="C1" s="33" t="s">
        <v>23</v>
      </c>
      <c r="D1" s="33" t="s">
        <v>24</v>
      </c>
      <c r="E1" s="33" t="s">
        <v>2</v>
      </c>
      <c r="F1" s="34" t="s">
        <v>3</v>
      </c>
      <c r="G1" s="33" t="s">
        <v>4</v>
      </c>
      <c r="H1" s="33" t="s">
        <v>5</v>
      </c>
      <c r="I1" s="33" t="s">
        <v>6</v>
      </c>
    </row>
    <row r="2" spans="1:9" ht="26.25" x14ac:dyDescent="0.25">
      <c r="A2" s="11">
        <v>2018</v>
      </c>
      <c r="B2" s="11" t="s">
        <v>60</v>
      </c>
      <c r="C2" s="23"/>
      <c r="D2" s="11" t="s">
        <v>42</v>
      </c>
      <c r="E2" s="37">
        <v>1243</v>
      </c>
      <c r="F2" s="41">
        <f>Tabla13456789[[#This Row],[Nº Mujeres]]*100/Tabla13456789[[#This Row],[Total]]</f>
        <v>45.782688766114184</v>
      </c>
      <c r="G2" s="37">
        <v>1472</v>
      </c>
      <c r="H2" s="20">
        <f>Tabla13456789[[#This Row],[Nº Hombres]]*100/2816</f>
        <v>52.272727272727273</v>
      </c>
      <c r="I2" s="37">
        <v>2715</v>
      </c>
    </row>
    <row r="3" spans="1:9" ht="25.5" x14ac:dyDescent="0.2">
      <c r="A3" s="11">
        <v>2018</v>
      </c>
      <c r="B3" s="11" t="s">
        <v>60</v>
      </c>
      <c r="C3" s="23" t="s">
        <v>33</v>
      </c>
      <c r="D3" s="42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</row>
    <row r="4" spans="1:9" ht="26.25" x14ac:dyDescent="0.25">
      <c r="A4" s="11">
        <v>2018</v>
      </c>
      <c r="B4" s="11" t="s">
        <v>60</v>
      </c>
      <c r="C4" s="23" t="s">
        <v>33</v>
      </c>
      <c r="D4" s="11" t="s">
        <v>9</v>
      </c>
      <c r="E4" s="37">
        <v>1</v>
      </c>
      <c r="F4" s="43">
        <f>Tabla13456789[[#This Row],[Nº Mujeres]]*100/$E$2</f>
        <v>8.0450522928399035E-2</v>
      </c>
      <c r="G4" s="37">
        <v>4</v>
      </c>
      <c r="H4" s="20">
        <f>Tabla13456789[[#This Row],[Nº Hombres]]*100/$G$2</f>
        <v>0.27173913043478259</v>
      </c>
      <c r="I4" s="44">
        <f>Tabla13456789[[#This Row],[Nº Mujeres]]+Tabla13456789[[#This Row],[Nº Hombres]]</f>
        <v>5</v>
      </c>
    </row>
    <row r="5" spans="1:9" ht="26.25" x14ac:dyDescent="0.25">
      <c r="A5" s="11">
        <v>2018</v>
      </c>
      <c r="B5" s="11" t="s">
        <v>60</v>
      </c>
      <c r="C5" s="23" t="s">
        <v>33</v>
      </c>
      <c r="D5" s="11" t="s">
        <v>10</v>
      </c>
      <c r="E5" s="37">
        <v>22</v>
      </c>
      <c r="F5" s="43">
        <f>Tabla13456789[[#This Row],[Nº Mujeres]]*100/$E$2</f>
        <v>1.7699115044247788</v>
      </c>
      <c r="G5" s="37">
        <v>11</v>
      </c>
      <c r="H5" s="20">
        <f>Tabla13456789[[#This Row],[Nº Hombres]]*100/$G$2</f>
        <v>0.74728260869565222</v>
      </c>
      <c r="I5" s="44">
        <f>Tabla13456789[[#This Row],[Nº Mujeres]]+Tabla13456789[[#This Row],[Nº Hombres]]</f>
        <v>33</v>
      </c>
    </row>
    <row r="6" spans="1:9" ht="26.25" x14ac:dyDescent="0.25">
      <c r="A6" s="11">
        <v>2018</v>
      </c>
      <c r="B6" s="11" t="s">
        <v>60</v>
      </c>
      <c r="C6" s="23" t="s">
        <v>33</v>
      </c>
      <c r="D6" s="11" t="s">
        <v>11</v>
      </c>
      <c r="E6" s="37">
        <v>28</v>
      </c>
      <c r="F6" s="43">
        <f>Tabla13456789[[#This Row],[Nº Mujeres]]*100/$E$2</f>
        <v>2.2526146419951729</v>
      </c>
      <c r="G6" s="37">
        <v>44</v>
      </c>
      <c r="H6" s="20">
        <f>Tabla13456789[[#This Row],[Nº Hombres]]*100/$G$2</f>
        <v>2.9891304347826089</v>
      </c>
      <c r="I6" s="44">
        <f>Tabla13456789[[#This Row],[Nº Mujeres]]+Tabla13456789[[#This Row],[Nº Hombres]]</f>
        <v>72</v>
      </c>
    </row>
    <row r="7" spans="1:9" ht="26.25" x14ac:dyDescent="0.25">
      <c r="A7" s="11">
        <v>2018</v>
      </c>
      <c r="B7" s="11" t="s">
        <v>60</v>
      </c>
      <c r="C7" s="23" t="s">
        <v>33</v>
      </c>
      <c r="D7" s="11" t="s">
        <v>12</v>
      </c>
      <c r="E7" s="37">
        <v>26</v>
      </c>
      <c r="F7" s="43">
        <f>Tabla13456789[[#This Row],[Nº Mujeres]]*100/$E$2</f>
        <v>2.091713596138375</v>
      </c>
      <c r="G7" s="37">
        <v>28</v>
      </c>
      <c r="H7" s="20">
        <f>Tabla13456789[[#This Row],[Nº Hombres]]*100/$G$2</f>
        <v>1.9021739130434783</v>
      </c>
      <c r="I7" s="44">
        <f>Tabla13456789[[#This Row],[Nº Mujeres]]+Tabla13456789[[#This Row],[Nº Hombres]]</f>
        <v>54</v>
      </c>
    </row>
    <row r="8" spans="1:9" ht="26.25" x14ac:dyDescent="0.25">
      <c r="A8" s="11">
        <v>2018</v>
      </c>
      <c r="B8" s="11" t="s">
        <v>60</v>
      </c>
      <c r="C8" s="23" t="s">
        <v>33</v>
      </c>
      <c r="D8" s="11" t="s">
        <v>13</v>
      </c>
      <c r="E8" s="37">
        <v>40</v>
      </c>
      <c r="F8" s="43">
        <f>Tabla13456789[[#This Row],[Nº Mujeres]]*100/$E$2</f>
        <v>3.2180209171359615</v>
      </c>
      <c r="G8" s="37">
        <v>33</v>
      </c>
      <c r="H8" s="20">
        <f>Tabla13456789[[#This Row],[Nº Hombres]]*100/$G$2</f>
        <v>2.2418478260869565</v>
      </c>
      <c r="I8" s="44">
        <f>Tabla13456789[[#This Row],[Nº Mujeres]]+Tabla13456789[[#This Row],[Nº Hombres]]</f>
        <v>73</v>
      </c>
    </row>
    <row r="9" spans="1:9" ht="26.25" x14ac:dyDescent="0.25">
      <c r="A9" s="11">
        <v>2018</v>
      </c>
      <c r="B9" s="11" t="s">
        <v>60</v>
      </c>
      <c r="C9" s="23" t="s">
        <v>33</v>
      </c>
      <c r="D9" s="11" t="s">
        <v>14</v>
      </c>
      <c r="E9" s="37">
        <v>55</v>
      </c>
      <c r="F9" s="43">
        <f>Tabla13456789[[#This Row],[Nº Mujeres]]*100/$E$2</f>
        <v>4.4247787610619467</v>
      </c>
      <c r="G9" s="37">
        <v>54</v>
      </c>
      <c r="H9" s="20">
        <f>Tabla13456789[[#This Row],[Nº Hombres]]*100/$G$2</f>
        <v>3.6684782608695654</v>
      </c>
      <c r="I9" s="44">
        <f>Tabla13456789[[#This Row],[Nº Mujeres]]+Tabla13456789[[#This Row],[Nº Hombres]]</f>
        <v>109</v>
      </c>
    </row>
    <row r="10" spans="1:9" ht="26.25" x14ac:dyDescent="0.25">
      <c r="A10" s="11">
        <v>2018</v>
      </c>
      <c r="B10" s="11" t="s">
        <v>60</v>
      </c>
      <c r="C10" s="23" t="s">
        <v>33</v>
      </c>
      <c r="D10" s="11" t="s">
        <v>15</v>
      </c>
      <c r="E10" s="37">
        <v>109</v>
      </c>
      <c r="F10" s="43">
        <f>Tabla13456789[[#This Row],[Nº Mujeres]]*100/$E$2</f>
        <v>8.7691069991954951</v>
      </c>
      <c r="G10" s="37">
        <v>136</v>
      </c>
      <c r="H10" s="20">
        <f>Tabla13456789[[#This Row],[Nº Hombres]]*100/$G$2</f>
        <v>9.2391304347826093</v>
      </c>
      <c r="I10" s="44">
        <f>Tabla13456789[[#This Row],[Nº Mujeres]]+Tabla13456789[[#This Row],[Nº Hombres]]</f>
        <v>245</v>
      </c>
    </row>
    <row r="11" spans="1:9" ht="26.25" x14ac:dyDescent="0.25">
      <c r="A11" s="11">
        <v>2018</v>
      </c>
      <c r="B11" s="11" t="s">
        <v>60</v>
      </c>
      <c r="C11" s="23" t="s">
        <v>33</v>
      </c>
      <c r="D11" s="11" t="s">
        <v>16</v>
      </c>
      <c r="E11" s="37">
        <v>174</v>
      </c>
      <c r="F11" s="43">
        <f>Tabla13456789[[#This Row],[Nº Mujeres]]*100/$E$2</f>
        <v>13.998390989541432</v>
      </c>
      <c r="G11" s="37">
        <v>163</v>
      </c>
      <c r="H11" s="20">
        <f>Tabla13456789[[#This Row],[Nº Hombres]]*100/$G$2</f>
        <v>11.073369565217391</v>
      </c>
      <c r="I11" s="44">
        <f>Tabla13456789[[#This Row],[Nº Mujeres]]+Tabla13456789[[#This Row],[Nº Hombres]]</f>
        <v>337</v>
      </c>
    </row>
    <row r="12" spans="1:9" ht="26.25" x14ac:dyDescent="0.25">
      <c r="A12" s="11">
        <v>2018</v>
      </c>
      <c r="B12" s="11" t="s">
        <v>60</v>
      </c>
      <c r="C12" s="23" t="s">
        <v>33</v>
      </c>
      <c r="D12" s="11" t="s">
        <v>17</v>
      </c>
      <c r="E12" s="37">
        <v>153</v>
      </c>
      <c r="F12" s="43">
        <f>Tabla13456789[[#This Row],[Nº Mujeres]]*100/$E$2</f>
        <v>12.308930008045053</v>
      </c>
      <c r="G12" s="37">
        <v>177</v>
      </c>
      <c r="H12" s="20">
        <f>Tabla13456789[[#This Row],[Nº Hombres]]*100/$G$2</f>
        <v>12.024456521739131</v>
      </c>
      <c r="I12" s="44">
        <f>Tabla13456789[[#This Row],[Nº Mujeres]]+Tabla13456789[[#This Row],[Nº Hombres]]</f>
        <v>330</v>
      </c>
    </row>
    <row r="13" spans="1:9" ht="26.25" x14ac:dyDescent="0.25">
      <c r="A13" s="11">
        <v>2018</v>
      </c>
      <c r="B13" s="11" t="s">
        <v>60</v>
      </c>
      <c r="C13" s="23" t="s">
        <v>33</v>
      </c>
      <c r="D13" s="11" t="s">
        <v>18</v>
      </c>
      <c r="E13" s="37">
        <v>147</v>
      </c>
      <c r="F13" s="43">
        <f>Tabla13456789[[#This Row],[Nº Mujeres]]*100/$E$2</f>
        <v>11.826226870474658</v>
      </c>
      <c r="G13" s="37">
        <v>200</v>
      </c>
      <c r="H13" s="20">
        <f>Tabla13456789[[#This Row],[Nº Hombres]]*100/$G$2</f>
        <v>13.586956521739131</v>
      </c>
      <c r="I13" s="44">
        <f>Tabla13456789[[#This Row],[Nº Mujeres]]+Tabla13456789[[#This Row],[Nº Hombres]]</f>
        <v>347</v>
      </c>
    </row>
    <row r="14" spans="1:9" ht="26.25" x14ac:dyDescent="0.25">
      <c r="A14" s="11">
        <v>2018</v>
      </c>
      <c r="B14" s="11" t="s">
        <v>60</v>
      </c>
      <c r="C14" s="23" t="s">
        <v>33</v>
      </c>
      <c r="D14" s="11" t="s">
        <v>19</v>
      </c>
      <c r="E14" s="37">
        <v>139</v>
      </c>
      <c r="F14" s="43">
        <f>Tabla13456789[[#This Row],[Nº Mujeres]]*100/$E$2</f>
        <v>11.182622687047466</v>
      </c>
      <c r="G14" s="37">
        <v>187</v>
      </c>
      <c r="H14" s="20">
        <f>Tabla13456789[[#This Row],[Nº Hombres]]*100/$G$2</f>
        <v>12.703804347826088</v>
      </c>
      <c r="I14" s="44">
        <f>Tabla13456789[[#This Row],[Nº Mujeres]]+Tabla13456789[[#This Row],[Nº Hombres]]</f>
        <v>326</v>
      </c>
    </row>
    <row r="15" spans="1:9" ht="26.25" x14ac:dyDescent="0.25">
      <c r="A15" s="11">
        <v>2018</v>
      </c>
      <c r="B15" s="11" t="s">
        <v>60</v>
      </c>
      <c r="C15" s="23" t="s">
        <v>33</v>
      </c>
      <c r="D15" s="11" t="s">
        <v>20</v>
      </c>
      <c r="E15" s="37">
        <v>104</v>
      </c>
      <c r="F15" s="43">
        <f>Tabla13456789[[#This Row],[Nº Mujeres]]*100/$E$2</f>
        <v>8.3668543845535002</v>
      </c>
      <c r="G15" s="37">
        <v>184</v>
      </c>
      <c r="H15" s="20">
        <f>Tabla13456789[[#This Row],[Nº Hombres]]*100/$G$2</f>
        <v>12.5</v>
      </c>
      <c r="I15" s="44">
        <f>Tabla13456789[[#This Row],[Nº Mujeres]]+Tabla13456789[[#This Row],[Nº Hombres]]</f>
        <v>288</v>
      </c>
    </row>
    <row r="16" spans="1:9" ht="26.25" x14ac:dyDescent="0.25">
      <c r="A16" s="11">
        <v>2018</v>
      </c>
      <c r="B16" s="11" t="s">
        <v>60</v>
      </c>
      <c r="C16" s="23" t="s">
        <v>33</v>
      </c>
      <c r="D16" s="11" t="s">
        <v>21</v>
      </c>
      <c r="E16" s="37">
        <v>109</v>
      </c>
      <c r="F16" s="43">
        <f>Tabla13456789[[#This Row],[Nº Mujeres]]*100/$E$2</f>
        <v>8.7691069991954951</v>
      </c>
      <c r="G16" s="37">
        <v>112</v>
      </c>
      <c r="H16" s="20">
        <f>Tabla13456789[[#This Row],[Nº Hombres]]*100/$G$2</f>
        <v>7.6086956521739131</v>
      </c>
      <c r="I16" s="44">
        <f>Tabla13456789[[#This Row],[Nº Mujeres]]+Tabla13456789[[#This Row],[Nº Hombres]]</f>
        <v>221</v>
      </c>
    </row>
    <row r="17" spans="1:9" ht="26.25" x14ac:dyDescent="0.25">
      <c r="A17" s="11">
        <v>2018</v>
      </c>
      <c r="B17" s="11" t="s">
        <v>60</v>
      </c>
      <c r="C17" s="23" t="s">
        <v>33</v>
      </c>
      <c r="D17" s="11" t="s">
        <v>22</v>
      </c>
      <c r="E17" s="37">
        <v>136</v>
      </c>
      <c r="F17" s="43">
        <f>Tabla13456789[[#This Row],[Nº Mujeres]]*100/$E$2</f>
        <v>10.941271118262268</v>
      </c>
      <c r="G17" s="37">
        <v>139</v>
      </c>
      <c r="H17" s="20">
        <f>Tabla13456789[[#This Row],[Nº Hombres]]*100/$G$2</f>
        <v>9.4429347826086953</v>
      </c>
      <c r="I17" s="44">
        <f>Tabla13456789[[#This Row],[Nº Mujeres]]+Tabla13456789[[#This Row],[Nº Hombres]]</f>
        <v>275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7"/>
  <sheetViews>
    <sheetView workbookViewId="0">
      <selection activeCell="G22" sqref="G22"/>
    </sheetView>
  </sheetViews>
  <sheetFormatPr baseColWidth="10" defaultRowHeight="15" x14ac:dyDescent="0.25"/>
  <cols>
    <col min="1" max="1" width="11.42578125" style="31"/>
    <col min="2" max="2" width="22.42578125" style="31" customWidth="1"/>
    <col min="3" max="3" width="14.7109375" style="31" customWidth="1"/>
    <col min="4" max="4" width="27.5703125" style="31" customWidth="1"/>
    <col min="5" max="16384" width="11.42578125" style="31"/>
  </cols>
  <sheetData>
    <row r="1" spans="1:9" x14ac:dyDescent="0.25">
      <c r="A1" s="1" t="s">
        <v>0</v>
      </c>
      <c r="B1" s="60" t="s">
        <v>1</v>
      </c>
      <c r="C1" s="60" t="s">
        <v>23</v>
      </c>
      <c r="D1" s="60" t="s">
        <v>24</v>
      </c>
      <c r="E1" s="60" t="s">
        <v>2</v>
      </c>
      <c r="F1" s="61" t="s">
        <v>3</v>
      </c>
      <c r="G1" s="60" t="s">
        <v>4</v>
      </c>
      <c r="H1" s="60" t="s">
        <v>5</v>
      </c>
      <c r="I1" s="60" t="s">
        <v>6</v>
      </c>
    </row>
    <row r="2" spans="1:9" x14ac:dyDescent="0.25">
      <c r="A2" s="6">
        <v>2018</v>
      </c>
      <c r="B2" s="6" t="s">
        <v>60</v>
      </c>
      <c r="C2" s="62" t="s">
        <v>32</v>
      </c>
      <c r="D2" s="6" t="s">
        <v>42</v>
      </c>
      <c r="E2" s="37">
        <v>2791</v>
      </c>
      <c r="F2" s="63">
        <f>Tabla1345678[[#This Row],[Nº Mujeres]]*100/Tabla1345678[[#This Row],[Total]]</f>
        <v>46.018136850783179</v>
      </c>
      <c r="G2" s="37">
        <v>3274</v>
      </c>
      <c r="H2" s="8">
        <f>Tabla1345678[[#This Row],[Nº Hombres]]*100/6132</f>
        <v>53.392041748206132</v>
      </c>
      <c r="I2" s="37">
        <v>6065</v>
      </c>
    </row>
    <row r="3" spans="1:9" x14ac:dyDescent="0.25">
      <c r="A3" s="6">
        <v>2018</v>
      </c>
      <c r="B3" s="6" t="s">
        <v>60</v>
      </c>
      <c r="C3" s="62" t="s">
        <v>32</v>
      </c>
      <c r="D3" s="64" t="s">
        <v>8</v>
      </c>
      <c r="E3" s="2" t="s">
        <v>26</v>
      </c>
      <c r="F3" s="2" t="s">
        <v>26</v>
      </c>
      <c r="G3" s="2" t="s">
        <v>26</v>
      </c>
      <c r="H3" s="2" t="s">
        <v>26</v>
      </c>
      <c r="I3" s="2" t="s">
        <v>26</v>
      </c>
    </row>
    <row r="4" spans="1:9" x14ac:dyDescent="0.25">
      <c r="A4" s="6">
        <v>2018</v>
      </c>
      <c r="B4" s="6" t="s">
        <v>60</v>
      </c>
      <c r="C4" s="62" t="s">
        <v>32</v>
      </c>
      <c r="D4" s="6" t="s">
        <v>9</v>
      </c>
      <c r="E4" s="37">
        <v>3</v>
      </c>
      <c r="F4" s="65">
        <f>Tabla1345678[[#This Row],[Nº Mujeres]]*100/$E$2</f>
        <v>0.10748835542816194</v>
      </c>
      <c r="G4" s="37">
        <v>5</v>
      </c>
      <c r="H4" s="8">
        <f>Tabla1345678[[#This Row],[Nº Hombres]]*100/$G$2</f>
        <v>0.15271838729383017</v>
      </c>
      <c r="I4" s="59">
        <f>Tabla1345678[[#This Row],[Nº Mujeres]]+Tabla1345678[[#This Row],[Nº Hombres]]</f>
        <v>8</v>
      </c>
    </row>
    <row r="5" spans="1:9" x14ac:dyDescent="0.25">
      <c r="A5" s="6">
        <v>2018</v>
      </c>
      <c r="B5" s="6" t="s">
        <v>60</v>
      </c>
      <c r="C5" s="62" t="s">
        <v>32</v>
      </c>
      <c r="D5" s="6" t="s">
        <v>10</v>
      </c>
      <c r="E5" s="37">
        <v>53</v>
      </c>
      <c r="F5" s="65">
        <f>Tabla1345678[[#This Row],[Nº Mujeres]]*100/$E$2</f>
        <v>1.8989609458975278</v>
      </c>
      <c r="G5" s="37">
        <v>40</v>
      </c>
      <c r="H5" s="8">
        <f>Tabla1345678[[#This Row],[Nº Hombres]]*100/$G$2</f>
        <v>1.2217470983506413</v>
      </c>
      <c r="I5" s="59">
        <f>Tabla1345678[[#This Row],[Nº Mujeres]]+Tabla1345678[[#This Row],[Nº Hombres]]</f>
        <v>93</v>
      </c>
    </row>
    <row r="6" spans="1:9" x14ac:dyDescent="0.25">
      <c r="A6" s="6">
        <v>2018</v>
      </c>
      <c r="B6" s="6" t="s">
        <v>60</v>
      </c>
      <c r="C6" s="62" t="s">
        <v>32</v>
      </c>
      <c r="D6" s="6" t="s">
        <v>11</v>
      </c>
      <c r="E6" s="37">
        <v>95</v>
      </c>
      <c r="F6" s="65">
        <f>Tabla1345678[[#This Row],[Nº Mujeres]]*100/$E$2</f>
        <v>3.4037979218917949</v>
      </c>
      <c r="G6" s="37">
        <v>98</v>
      </c>
      <c r="H6" s="8">
        <f>Tabla1345678[[#This Row],[Nº Hombres]]*100/$G$2</f>
        <v>2.9932803909590713</v>
      </c>
      <c r="I6" s="59">
        <f>Tabla1345678[[#This Row],[Nº Mujeres]]+Tabla1345678[[#This Row],[Nº Hombres]]</f>
        <v>193</v>
      </c>
    </row>
    <row r="7" spans="1:9" x14ac:dyDescent="0.25">
      <c r="A7" s="6">
        <v>2018</v>
      </c>
      <c r="B7" s="6" t="s">
        <v>60</v>
      </c>
      <c r="C7" s="62" t="s">
        <v>32</v>
      </c>
      <c r="D7" s="6" t="s">
        <v>12</v>
      </c>
      <c r="E7" s="37">
        <v>95</v>
      </c>
      <c r="F7" s="65">
        <f>Tabla1345678[[#This Row],[Nº Mujeres]]*100/$E$2</f>
        <v>3.4037979218917949</v>
      </c>
      <c r="G7" s="37">
        <v>84</v>
      </c>
      <c r="H7" s="8">
        <f>Tabla1345678[[#This Row],[Nº Hombres]]*100/$G$2</f>
        <v>2.5656689065363469</v>
      </c>
      <c r="I7" s="59">
        <f>Tabla1345678[[#This Row],[Nº Mujeres]]+Tabla1345678[[#This Row],[Nº Hombres]]</f>
        <v>179</v>
      </c>
    </row>
    <row r="8" spans="1:9" x14ac:dyDescent="0.25">
      <c r="A8" s="6">
        <v>2018</v>
      </c>
      <c r="B8" s="6" t="s">
        <v>60</v>
      </c>
      <c r="C8" s="62" t="s">
        <v>32</v>
      </c>
      <c r="D8" s="6" t="s">
        <v>13</v>
      </c>
      <c r="E8" s="37">
        <v>152</v>
      </c>
      <c r="F8" s="65">
        <f>Tabla1345678[[#This Row],[Nº Mujeres]]*100/$E$2</f>
        <v>5.4460766750268723</v>
      </c>
      <c r="G8" s="37">
        <v>128</v>
      </c>
      <c r="H8" s="8">
        <f>Tabla1345678[[#This Row],[Nº Hombres]]*100/$G$2</f>
        <v>3.9095907147220523</v>
      </c>
      <c r="I8" s="59">
        <f>Tabla1345678[[#This Row],[Nº Mujeres]]+Tabla1345678[[#This Row],[Nº Hombres]]</f>
        <v>280</v>
      </c>
    </row>
    <row r="9" spans="1:9" x14ac:dyDescent="0.25">
      <c r="A9" s="6">
        <v>2018</v>
      </c>
      <c r="B9" s="6" t="s">
        <v>60</v>
      </c>
      <c r="C9" s="62" t="s">
        <v>32</v>
      </c>
      <c r="D9" s="6" t="s">
        <v>14</v>
      </c>
      <c r="E9" s="37">
        <v>156</v>
      </c>
      <c r="F9" s="65">
        <f>Tabla1345678[[#This Row],[Nº Mujeres]]*100/$E$2</f>
        <v>5.5893944822644217</v>
      </c>
      <c r="G9" s="37">
        <v>174</v>
      </c>
      <c r="H9" s="8">
        <f>Tabla1345678[[#This Row],[Nº Hombres]]*100/$G$2</f>
        <v>5.3145998778252901</v>
      </c>
      <c r="I9" s="59">
        <f>Tabla1345678[[#This Row],[Nº Mujeres]]+Tabla1345678[[#This Row],[Nº Hombres]]</f>
        <v>330</v>
      </c>
    </row>
    <row r="10" spans="1:9" x14ac:dyDescent="0.25">
      <c r="A10" s="6">
        <v>2018</v>
      </c>
      <c r="B10" s="6" t="s">
        <v>60</v>
      </c>
      <c r="C10" s="62" t="s">
        <v>32</v>
      </c>
      <c r="D10" s="6" t="s">
        <v>15</v>
      </c>
      <c r="E10" s="37">
        <v>257</v>
      </c>
      <c r="F10" s="65">
        <f>Tabla1345678[[#This Row],[Nº Mujeres]]*100/$E$2</f>
        <v>9.2081691150125398</v>
      </c>
      <c r="G10" s="37">
        <v>312</v>
      </c>
      <c r="H10" s="8">
        <f>Tabla1345678[[#This Row],[Nº Hombres]]*100/$G$2</f>
        <v>9.5296273671350029</v>
      </c>
      <c r="I10" s="59">
        <f>Tabla1345678[[#This Row],[Nº Mujeres]]+Tabla1345678[[#This Row],[Nº Hombres]]</f>
        <v>569</v>
      </c>
    </row>
    <row r="11" spans="1:9" x14ac:dyDescent="0.25">
      <c r="A11" s="6">
        <v>2018</v>
      </c>
      <c r="B11" s="6" t="s">
        <v>60</v>
      </c>
      <c r="C11" s="62" t="s">
        <v>32</v>
      </c>
      <c r="D11" s="6" t="s">
        <v>16</v>
      </c>
      <c r="E11" s="37">
        <v>364</v>
      </c>
      <c r="F11" s="65">
        <f>Tabla1345678[[#This Row],[Nº Mujeres]]*100/$E$2</f>
        <v>13.041920458616984</v>
      </c>
      <c r="G11" s="37">
        <v>425</v>
      </c>
      <c r="H11" s="8">
        <f>Tabla1345678[[#This Row],[Nº Hombres]]*100/$G$2</f>
        <v>12.981062919975566</v>
      </c>
      <c r="I11" s="59">
        <f>Tabla1345678[[#This Row],[Nº Mujeres]]+Tabla1345678[[#This Row],[Nº Hombres]]</f>
        <v>789</v>
      </c>
    </row>
    <row r="12" spans="1:9" x14ac:dyDescent="0.25">
      <c r="A12" s="6">
        <v>2018</v>
      </c>
      <c r="B12" s="6" t="s">
        <v>60</v>
      </c>
      <c r="C12" s="62" t="s">
        <v>32</v>
      </c>
      <c r="D12" s="6" t="s">
        <v>17</v>
      </c>
      <c r="E12" s="37">
        <v>315</v>
      </c>
      <c r="F12" s="65">
        <f>Tabla1345678[[#This Row],[Nº Mujeres]]*100/$E$2</f>
        <v>11.286277319957005</v>
      </c>
      <c r="G12" s="37">
        <v>414</v>
      </c>
      <c r="H12" s="8">
        <f>Tabla1345678[[#This Row],[Nº Hombres]]*100/$G$2</f>
        <v>12.645082467929139</v>
      </c>
      <c r="I12" s="59">
        <f>Tabla1345678[[#This Row],[Nº Mujeres]]+Tabla1345678[[#This Row],[Nº Hombres]]</f>
        <v>729</v>
      </c>
    </row>
    <row r="13" spans="1:9" x14ac:dyDescent="0.25">
      <c r="A13" s="6">
        <v>2018</v>
      </c>
      <c r="B13" s="6" t="s">
        <v>60</v>
      </c>
      <c r="C13" s="62" t="s">
        <v>32</v>
      </c>
      <c r="D13" s="6" t="s">
        <v>18</v>
      </c>
      <c r="E13" s="37">
        <v>296</v>
      </c>
      <c r="F13" s="65">
        <f>Tabla1345678[[#This Row],[Nº Mujeres]]*100/$E$2</f>
        <v>10.605517735578646</v>
      </c>
      <c r="G13" s="37">
        <v>379</v>
      </c>
      <c r="H13" s="8">
        <f>Tabla1345678[[#This Row],[Nº Hombres]]*100/$G$2</f>
        <v>11.576053756872328</v>
      </c>
      <c r="I13" s="59">
        <f>Tabla1345678[[#This Row],[Nº Mujeres]]+Tabla1345678[[#This Row],[Nº Hombres]]</f>
        <v>675</v>
      </c>
    </row>
    <row r="14" spans="1:9" x14ac:dyDescent="0.25">
      <c r="A14" s="6">
        <v>2018</v>
      </c>
      <c r="B14" s="6" t="s">
        <v>60</v>
      </c>
      <c r="C14" s="62" t="s">
        <v>32</v>
      </c>
      <c r="D14" s="6" t="s">
        <v>19</v>
      </c>
      <c r="E14" s="37">
        <v>279</v>
      </c>
      <c r="F14" s="65">
        <f>Tabla1345678[[#This Row],[Nº Mujeres]]*100/$E$2</f>
        <v>9.9964170548190605</v>
      </c>
      <c r="G14" s="37">
        <v>344</v>
      </c>
      <c r="H14" s="8">
        <f>Tabla1345678[[#This Row],[Nº Hombres]]*100/$G$2</f>
        <v>10.507025045815515</v>
      </c>
      <c r="I14" s="59">
        <f>Tabla1345678[[#This Row],[Nº Mujeres]]+Tabla1345678[[#This Row],[Nº Hombres]]</f>
        <v>623</v>
      </c>
    </row>
    <row r="15" spans="1:9" x14ac:dyDescent="0.25">
      <c r="A15" s="6">
        <v>2018</v>
      </c>
      <c r="B15" s="6" t="s">
        <v>60</v>
      </c>
      <c r="C15" s="62" t="s">
        <v>32</v>
      </c>
      <c r="D15" s="6" t="s">
        <v>20</v>
      </c>
      <c r="E15" s="37">
        <v>242</v>
      </c>
      <c r="F15" s="65">
        <f>Tabla1345678[[#This Row],[Nº Mujeres]]*100/$E$2</f>
        <v>8.67072733787173</v>
      </c>
      <c r="G15" s="37">
        <v>330</v>
      </c>
      <c r="H15" s="8">
        <f>Tabla1345678[[#This Row],[Nº Hombres]]*100/$G$2</f>
        <v>10.079413561392792</v>
      </c>
      <c r="I15" s="59">
        <f>Tabla1345678[[#This Row],[Nº Mujeres]]+Tabla1345678[[#This Row],[Nº Hombres]]</f>
        <v>572</v>
      </c>
    </row>
    <row r="16" spans="1:9" x14ac:dyDescent="0.25">
      <c r="A16" s="6">
        <v>2018</v>
      </c>
      <c r="B16" s="6" t="s">
        <v>60</v>
      </c>
      <c r="C16" s="62" t="s">
        <v>32</v>
      </c>
      <c r="D16" s="6" t="s">
        <v>21</v>
      </c>
      <c r="E16" s="37">
        <v>219</v>
      </c>
      <c r="F16" s="65">
        <f>Tabla1345678[[#This Row],[Nº Mujeres]]*100/$E$2</f>
        <v>7.8466499462558223</v>
      </c>
      <c r="G16" s="37">
        <v>252</v>
      </c>
      <c r="H16" s="8">
        <f>Tabla1345678[[#This Row],[Nº Hombres]]*100/$G$2</f>
        <v>7.6970067196090408</v>
      </c>
      <c r="I16" s="59">
        <f>Tabla1345678[[#This Row],[Nº Mujeres]]+Tabla1345678[[#This Row],[Nº Hombres]]</f>
        <v>471</v>
      </c>
    </row>
    <row r="17" spans="1:9" x14ac:dyDescent="0.25">
      <c r="A17" s="6">
        <v>2018</v>
      </c>
      <c r="B17" s="6" t="s">
        <v>60</v>
      </c>
      <c r="C17" s="62" t="s">
        <v>32</v>
      </c>
      <c r="D17" s="6" t="s">
        <v>22</v>
      </c>
      <c r="E17" s="37">
        <v>265</v>
      </c>
      <c r="F17" s="65">
        <f>Tabla1345678[[#This Row],[Nº Mujeres]]*100/$E$2</f>
        <v>9.4948047294876385</v>
      </c>
      <c r="G17" s="37">
        <v>289</v>
      </c>
      <c r="H17" s="8">
        <f>Tabla1345678[[#This Row],[Nº Hombres]]*100/$G$2</f>
        <v>8.8271227855833843</v>
      </c>
      <c r="I17" s="59">
        <f>Tabla1345678[[#This Row],[Nº Mujeres]]+Tabla1345678[[#This Row],[Nº Hombres]]</f>
        <v>554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9"/>
  <sheetViews>
    <sheetView zoomScale="90" zoomScaleNormal="90" workbookViewId="0">
      <selection activeCell="G13" sqref="G13"/>
    </sheetView>
  </sheetViews>
  <sheetFormatPr baseColWidth="10" defaultColWidth="18.85546875" defaultRowHeight="12.75" x14ac:dyDescent="0.2"/>
  <cols>
    <col min="1" max="16384" width="18.85546875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ht="26.25" x14ac:dyDescent="0.25">
      <c r="A2" s="11">
        <v>2018</v>
      </c>
      <c r="B2" s="11" t="s">
        <v>60</v>
      </c>
      <c r="C2" s="23" t="s">
        <v>25</v>
      </c>
      <c r="D2" s="24" t="s">
        <v>42</v>
      </c>
      <c r="E2" s="4">
        <v>801</v>
      </c>
      <c r="F2" s="25">
        <f>Tabla1[[#This Row],[Nº Mujeres]]*100/Tabla1[[#This Row],[Total]]</f>
        <v>49.90654205607477</v>
      </c>
      <c r="G2" s="7">
        <v>804</v>
      </c>
      <c r="H2" s="26">
        <f>Tabla1[[#This Row],[Nº Hombres]]*100/I:I</f>
        <v>50.09345794392523</v>
      </c>
      <c r="I2" s="7">
        <v>1605</v>
      </c>
    </row>
    <row r="3" spans="1:9" ht="25.5" x14ac:dyDescent="0.2">
      <c r="A3" s="11">
        <v>2018</v>
      </c>
      <c r="B3" s="11" t="s">
        <v>60</v>
      </c>
      <c r="C3" s="23" t="s">
        <v>25</v>
      </c>
      <c r="D3" s="27" t="s">
        <v>8</v>
      </c>
      <c r="E3" s="28" t="s">
        <v>26</v>
      </c>
      <c r="F3" s="28" t="s">
        <v>26</v>
      </c>
      <c r="G3" s="28" t="s">
        <v>26</v>
      </c>
      <c r="H3" s="28" t="s">
        <v>26</v>
      </c>
      <c r="I3" s="28" t="s">
        <v>26</v>
      </c>
    </row>
    <row r="4" spans="1:9" ht="26.25" x14ac:dyDescent="0.25">
      <c r="A4" s="11">
        <v>2018</v>
      </c>
      <c r="B4" s="11" t="s">
        <v>60</v>
      </c>
      <c r="C4" s="23" t="s">
        <v>25</v>
      </c>
      <c r="D4" s="24" t="s">
        <v>9</v>
      </c>
      <c r="E4" s="4">
        <v>3</v>
      </c>
      <c r="F4" s="29">
        <f>Tabla1[[#This Row],[Nº Mujeres]]*100/$E$2</f>
        <v>0.37453183520599254</v>
      </c>
      <c r="G4" s="7">
        <v>2</v>
      </c>
      <c r="H4" s="26">
        <f>Tabla1[[#This Row],[Nº Hombres]]*100/$G$2</f>
        <v>0.24875621890547264</v>
      </c>
      <c r="I4" s="30">
        <f>Tabla1[[#This Row],[Nº Mujeres]]+Tabla1[[#This Row],[Nº Hombres]]</f>
        <v>5</v>
      </c>
    </row>
    <row r="5" spans="1:9" ht="26.25" x14ac:dyDescent="0.25">
      <c r="A5" s="11">
        <v>2018</v>
      </c>
      <c r="B5" s="11" t="s">
        <v>60</v>
      </c>
      <c r="C5" s="23" t="s">
        <v>25</v>
      </c>
      <c r="D5" s="24" t="s">
        <v>10</v>
      </c>
      <c r="E5" s="4">
        <v>20</v>
      </c>
      <c r="F5" s="29">
        <f>Tabla1[[#This Row],[Nº Mujeres]]*100/$E$2</f>
        <v>2.4968789013732833</v>
      </c>
      <c r="G5" s="7">
        <v>22</v>
      </c>
      <c r="H5" s="26">
        <f>Tabla1[[#This Row],[Nº Hombres]]*100/$G$2</f>
        <v>2.7363184079601992</v>
      </c>
      <c r="I5" s="30">
        <f>Tabla1[[#This Row],[Nº Mujeres]]+Tabla1[[#This Row],[Nº Hombres]]</f>
        <v>42</v>
      </c>
    </row>
    <row r="6" spans="1:9" ht="26.25" x14ac:dyDescent="0.25">
      <c r="A6" s="11">
        <v>2018</v>
      </c>
      <c r="B6" s="11" t="s">
        <v>60</v>
      </c>
      <c r="C6" s="23" t="s">
        <v>25</v>
      </c>
      <c r="D6" s="24" t="s">
        <v>11</v>
      </c>
      <c r="E6" s="4">
        <v>35</v>
      </c>
      <c r="F6" s="29">
        <f>Tabla1[[#This Row],[Nº Mujeres]]*100/$E$2</f>
        <v>4.369538077403246</v>
      </c>
      <c r="G6" s="7">
        <v>24</v>
      </c>
      <c r="H6" s="26">
        <f>Tabla1[[#This Row],[Nº Hombres]]*100/$G$2</f>
        <v>2.9850746268656718</v>
      </c>
      <c r="I6" s="30">
        <f>Tabla1[[#This Row],[Nº Mujeres]]+Tabla1[[#This Row],[Nº Hombres]]</f>
        <v>59</v>
      </c>
    </row>
    <row r="7" spans="1:9" ht="26.25" x14ac:dyDescent="0.25">
      <c r="A7" s="11">
        <v>2018</v>
      </c>
      <c r="B7" s="11" t="s">
        <v>60</v>
      </c>
      <c r="C7" s="23" t="s">
        <v>25</v>
      </c>
      <c r="D7" s="24" t="s">
        <v>12</v>
      </c>
      <c r="E7" s="4">
        <v>35</v>
      </c>
      <c r="F7" s="29">
        <f>Tabla1[[#This Row],[Nº Mujeres]]*100/$E$2</f>
        <v>4.369538077403246</v>
      </c>
      <c r="G7" s="7">
        <v>38</v>
      </c>
      <c r="H7" s="26">
        <f>Tabla1[[#This Row],[Nº Hombres]]*100/$G$2</f>
        <v>4.7263681592039797</v>
      </c>
      <c r="I7" s="30">
        <f>Tabla1[[#This Row],[Nº Mujeres]]+Tabla1[[#This Row],[Nº Hombres]]</f>
        <v>73</v>
      </c>
    </row>
    <row r="8" spans="1:9" ht="26.25" x14ac:dyDescent="0.25">
      <c r="A8" s="11">
        <v>2018</v>
      </c>
      <c r="B8" s="11" t="s">
        <v>60</v>
      </c>
      <c r="C8" s="23" t="s">
        <v>25</v>
      </c>
      <c r="D8" s="24" t="s">
        <v>13</v>
      </c>
      <c r="E8" s="4">
        <v>46</v>
      </c>
      <c r="F8" s="29">
        <f>Tabla1[[#This Row],[Nº Mujeres]]*100/$E$2</f>
        <v>5.7428214731585516</v>
      </c>
      <c r="G8" s="7">
        <v>38</v>
      </c>
      <c r="H8" s="26">
        <f>Tabla1[[#This Row],[Nº Hombres]]*100/$G$2</f>
        <v>4.7263681592039797</v>
      </c>
      <c r="I8" s="30">
        <f>Tabla1[[#This Row],[Nº Mujeres]]+Tabla1[[#This Row],[Nº Hombres]]</f>
        <v>84</v>
      </c>
    </row>
    <row r="9" spans="1:9" ht="26.25" x14ac:dyDescent="0.25">
      <c r="A9" s="11">
        <v>2018</v>
      </c>
      <c r="B9" s="11" t="s">
        <v>60</v>
      </c>
      <c r="C9" s="23" t="s">
        <v>25</v>
      </c>
      <c r="D9" s="24" t="s">
        <v>14</v>
      </c>
      <c r="E9" s="4">
        <v>60</v>
      </c>
      <c r="F9" s="29">
        <f>Tabla1[[#This Row],[Nº Mujeres]]*100/$E$2</f>
        <v>7.4906367041198498</v>
      </c>
      <c r="G9" s="7">
        <v>71</v>
      </c>
      <c r="H9" s="26">
        <f>Tabla1[[#This Row],[Nº Hombres]]*100/$G$2</f>
        <v>8.8308457711442792</v>
      </c>
      <c r="I9" s="30">
        <f>Tabla1[[#This Row],[Nº Mujeres]]+Tabla1[[#This Row],[Nº Hombres]]</f>
        <v>131</v>
      </c>
    </row>
    <row r="10" spans="1:9" ht="26.25" x14ac:dyDescent="0.25">
      <c r="A10" s="11">
        <v>2018</v>
      </c>
      <c r="B10" s="11" t="s">
        <v>60</v>
      </c>
      <c r="C10" s="23" t="s">
        <v>25</v>
      </c>
      <c r="D10" s="24" t="s">
        <v>15</v>
      </c>
      <c r="E10" s="4">
        <v>87</v>
      </c>
      <c r="F10" s="29">
        <f>Tabla1[[#This Row],[Nº Mujeres]]*100/$E$2</f>
        <v>10.861423220973784</v>
      </c>
      <c r="G10" s="7">
        <v>61</v>
      </c>
      <c r="H10" s="26">
        <f>Tabla1[[#This Row],[Nº Hombres]]*100/$G$2</f>
        <v>7.5870646766169152</v>
      </c>
      <c r="I10" s="30">
        <f>Tabla1[[#This Row],[Nº Mujeres]]+Tabla1[[#This Row],[Nº Hombres]]</f>
        <v>148</v>
      </c>
    </row>
    <row r="11" spans="1:9" ht="26.25" x14ac:dyDescent="0.25">
      <c r="A11" s="11">
        <v>2018</v>
      </c>
      <c r="B11" s="11" t="s">
        <v>60</v>
      </c>
      <c r="C11" s="23" t="s">
        <v>25</v>
      </c>
      <c r="D11" s="24" t="s">
        <v>16</v>
      </c>
      <c r="E11" s="4">
        <v>91</v>
      </c>
      <c r="F11" s="29">
        <f>Tabla1[[#This Row],[Nº Mujeres]]*100/$E$2</f>
        <v>11.36079900124844</v>
      </c>
      <c r="G11" s="7">
        <v>90</v>
      </c>
      <c r="H11" s="26">
        <f>Tabla1[[#This Row],[Nº Hombres]]*100/$G$2</f>
        <v>11.194029850746269</v>
      </c>
      <c r="I11" s="30">
        <f>Tabla1[[#This Row],[Nº Mujeres]]+Tabla1[[#This Row],[Nº Hombres]]</f>
        <v>181</v>
      </c>
    </row>
    <row r="12" spans="1:9" ht="26.25" x14ac:dyDescent="0.25">
      <c r="A12" s="11">
        <v>2018</v>
      </c>
      <c r="B12" s="11" t="s">
        <v>60</v>
      </c>
      <c r="C12" s="23" t="s">
        <v>25</v>
      </c>
      <c r="D12" s="24" t="s">
        <v>17</v>
      </c>
      <c r="E12" s="4">
        <v>84</v>
      </c>
      <c r="F12" s="29">
        <f>Tabla1[[#This Row],[Nº Mujeres]]*100/$E$2</f>
        <v>10.486891385767791</v>
      </c>
      <c r="G12" s="7">
        <v>106</v>
      </c>
      <c r="H12" s="26">
        <f>Tabla1[[#This Row],[Nº Hombres]]*100/$G$2</f>
        <v>13.184079601990049</v>
      </c>
      <c r="I12" s="30">
        <f>Tabla1[[#This Row],[Nº Mujeres]]+Tabla1[[#This Row],[Nº Hombres]]</f>
        <v>190</v>
      </c>
    </row>
    <row r="13" spans="1:9" ht="26.25" x14ac:dyDescent="0.25">
      <c r="A13" s="11">
        <v>2018</v>
      </c>
      <c r="B13" s="11" t="s">
        <v>60</v>
      </c>
      <c r="C13" s="23" t="s">
        <v>25</v>
      </c>
      <c r="D13" s="24" t="s">
        <v>18</v>
      </c>
      <c r="E13" s="4">
        <v>94</v>
      </c>
      <c r="F13" s="29">
        <f>Tabla1[[#This Row],[Nº Mujeres]]*100/$E$2</f>
        <v>11.735330836454432</v>
      </c>
      <c r="G13" s="7">
        <v>100</v>
      </c>
      <c r="H13" s="26">
        <f>Tabla1[[#This Row],[Nº Hombres]]*100/$G$2</f>
        <v>12.437810945273633</v>
      </c>
      <c r="I13" s="30">
        <f>Tabla1[[#This Row],[Nº Mujeres]]+Tabla1[[#This Row],[Nº Hombres]]</f>
        <v>194</v>
      </c>
    </row>
    <row r="14" spans="1:9" ht="26.25" x14ac:dyDescent="0.25">
      <c r="A14" s="11">
        <v>2018</v>
      </c>
      <c r="B14" s="11" t="s">
        <v>60</v>
      </c>
      <c r="C14" s="23" t="s">
        <v>25</v>
      </c>
      <c r="D14" s="24" t="s">
        <v>19</v>
      </c>
      <c r="E14" s="4">
        <v>81</v>
      </c>
      <c r="F14" s="29">
        <f>Tabla1[[#This Row],[Nº Mujeres]]*100/$E$2</f>
        <v>10.112359550561798</v>
      </c>
      <c r="G14" s="7">
        <v>80</v>
      </c>
      <c r="H14" s="26">
        <f>Tabla1[[#This Row],[Nº Hombres]]*100/$G$2</f>
        <v>9.9502487562189046</v>
      </c>
      <c r="I14" s="30">
        <f>Tabla1[[#This Row],[Nº Mujeres]]+Tabla1[[#This Row],[Nº Hombres]]</f>
        <v>161</v>
      </c>
    </row>
    <row r="15" spans="1:9" ht="26.25" x14ac:dyDescent="0.25">
      <c r="A15" s="11">
        <v>2018</v>
      </c>
      <c r="B15" s="11" t="s">
        <v>60</v>
      </c>
      <c r="C15" s="23" t="s">
        <v>25</v>
      </c>
      <c r="D15" s="24" t="s">
        <v>20</v>
      </c>
      <c r="E15" s="4">
        <v>64</v>
      </c>
      <c r="F15" s="29">
        <f>Tabla1[[#This Row],[Nº Mujeres]]*100/$E$2</f>
        <v>7.9900124843945068</v>
      </c>
      <c r="G15" s="7">
        <v>60</v>
      </c>
      <c r="H15" s="26">
        <f>Tabla1[[#This Row],[Nº Hombres]]*100/$G$2</f>
        <v>7.4626865671641793</v>
      </c>
      <c r="I15" s="30">
        <f>Tabla1[[#This Row],[Nº Mujeres]]+Tabla1[[#This Row],[Nº Hombres]]</f>
        <v>124</v>
      </c>
    </row>
    <row r="16" spans="1:9" ht="26.25" x14ac:dyDescent="0.25">
      <c r="A16" s="11">
        <v>2018</v>
      </c>
      <c r="B16" s="11" t="s">
        <v>60</v>
      </c>
      <c r="C16" s="23" t="s">
        <v>25</v>
      </c>
      <c r="D16" s="24" t="s">
        <v>21</v>
      </c>
      <c r="E16" s="4">
        <v>43</v>
      </c>
      <c r="F16" s="29">
        <f>Tabla1[[#This Row],[Nº Mujeres]]*100/$E$2</f>
        <v>5.3682896379525591</v>
      </c>
      <c r="G16" s="7">
        <v>49</v>
      </c>
      <c r="H16" s="26">
        <f>Tabla1[[#This Row],[Nº Hombres]]*100/$G$2</f>
        <v>6.0945273631840795</v>
      </c>
      <c r="I16" s="30">
        <f>Tabla1[[#This Row],[Nº Mujeres]]+Tabla1[[#This Row],[Nº Hombres]]</f>
        <v>92</v>
      </c>
    </row>
    <row r="17" spans="1:9" ht="26.25" x14ac:dyDescent="0.25">
      <c r="A17" s="11">
        <v>2018</v>
      </c>
      <c r="B17" s="11" t="s">
        <v>60</v>
      </c>
      <c r="C17" s="23" t="s">
        <v>25</v>
      </c>
      <c r="D17" s="24" t="s">
        <v>22</v>
      </c>
      <c r="E17" s="4">
        <v>58</v>
      </c>
      <c r="F17" s="29">
        <f>Tabla1[[#This Row],[Nº Mujeres]]*100/$E$2</f>
        <v>7.2409488139825218</v>
      </c>
      <c r="G17" s="7">
        <v>63</v>
      </c>
      <c r="H17" s="26">
        <f>Tabla1[[#This Row],[Nº Hombres]]*100/$G$2</f>
        <v>7.8358208955223878</v>
      </c>
      <c r="I17" s="30">
        <f>Tabla1[[#This Row],[Nº Mujeres]]+Tabla1[[#This Row],[Nº Hombres]]</f>
        <v>121</v>
      </c>
    </row>
    <row r="18" spans="1:9" x14ac:dyDescent="0.2">
      <c r="C18" s="32"/>
    </row>
    <row r="19" spans="1:9" x14ac:dyDescent="0.2">
      <c r="C19" s="32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7"/>
  <sheetViews>
    <sheetView workbookViewId="0">
      <selection activeCell="E14" sqref="E14"/>
    </sheetView>
  </sheetViews>
  <sheetFormatPr baseColWidth="10" defaultColWidth="16.28515625" defaultRowHeight="12.75" x14ac:dyDescent="0.2"/>
  <cols>
    <col min="1" max="16384" width="16.28515625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ht="26.25" x14ac:dyDescent="0.25">
      <c r="A2" s="11">
        <v>2018</v>
      </c>
      <c r="B2" s="11" t="s">
        <v>60</v>
      </c>
      <c r="C2" s="23" t="s">
        <v>34</v>
      </c>
      <c r="D2" s="11" t="s">
        <v>42</v>
      </c>
      <c r="E2" s="37">
        <v>655</v>
      </c>
      <c r="F2" s="41">
        <f>Tabla1345678910[[#This Row],[Nº Mujeres]]*100/Tabla1345678910[[#This Row],[Total]]</f>
        <v>41.613722998729351</v>
      </c>
      <c r="G2" s="37">
        <v>919</v>
      </c>
      <c r="H2" s="20">
        <f>Tabla1345678910[[#This Row],[Nº Hombres]]*100/1619</f>
        <v>56.763434218653487</v>
      </c>
      <c r="I2" s="37">
        <v>1574</v>
      </c>
    </row>
    <row r="3" spans="1:9" ht="25.5" x14ac:dyDescent="0.2">
      <c r="A3" s="11">
        <v>2018</v>
      </c>
      <c r="B3" s="11" t="s">
        <v>60</v>
      </c>
      <c r="C3" s="23" t="s">
        <v>34</v>
      </c>
      <c r="D3" s="42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</row>
    <row r="4" spans="1:9" ht="26.25" x14ac:dyDescent="0.25">
      <c r="A4" s="11">
        <v>2018</v>
      </c>
      <c r="B4" s="11" t="s">
        <v>60</v>
      </c>
      <c r="C4" s="23" t="s">
        <v>34</v>
      </c>
      <c r="D4" s="11" t="s">
        <v>9</v>
      </c>
      <c r="E4" s="37">
        <v>1</v>
      </c>
      <c r="F4" s="43">
        <f>Tabla1345678910[[#This Row],[Nº Mujeres]]*100/$E$2</f>
        <v>0.15267175572519084</v>
      </c>
      <c r="G4" s="37">
        <v>4</v>
      </c>
      <c r="H4" s="20">
        <f>Tabla1345678910[[#This Row],[Nº Hombres]]*100/$G$2</f>
        <v>0.43525571273122959</v>
      </c>
      <c r="I4" s="44">
        <f>Tabla1345678910[[#This Row],[Nº Mujeres]]+Tabla1345678910[[#This Row],[Nº Hombres]]</f>
        <v>5</v>
      </c>
    </row>
    <row r="5" spans="1:9" ht="26.25" x14ac:dyDescent="0.25">
      <c r="A5" s="11">
        <v>2018</v>
      </c>
      <c r="B5" s="11" t="s">
        <v>60</v>
      </c>
      <c r="C5" s="23" t="s">
        <v>34</v>
      </c>
      <c r="D5" s="11" t="s">
        <v>10</v>
      </c>
      <c r="E5" s="37">
        <v>11</v>
      </c>
      <c r="F5" s="43">
        <f>Tabla1345678910[[#This Row],[Nº Mujeres]]*100/$E$2</f>
        <v>1.6793893129770991</v>
      </c>
      <c r="G5" s="37">
        <v>7</v>
      </c>
      <c r="H5" s="20">
        <f>Tabla1345678910[[#This Row],[Nº Hombres]]*100/$G$2</f>
        <v>0.76169749727965175</v>
      </c>
      <c r="I5" s="44">
        <f>Tabla1345678910[[#This Row],[Nº Mujeres]]+Tabla1345678910[[#This Row],[Nº Hombres]]</f>
        <v>18</v>
      </c>
    </row>
    <row r="6" spans="1:9" ht="26.25" x14ac:dyDescent="0.25">
      <c r="A6" s="11">
        <v>2018</v>
      </c>
      <c r="B6" s="11" t="s">
        <v>60</v>
      </c>
      <c r="C6" s="23" t="s">
        <v>34</v>
      </c>
      <c r="D6" s="11" t="s">
        <v>11</v>
      </c>
      <c r="E6" s="37">
        <v>33</v>
      </c>
      <c r="F6" s="43">
        <f>Tabla1345678910[[#This Row],[Nº Mujeres]]*100/$E$2</f>
        <v>5.0381679389312977</v>
      </c>
      <c r="G6" s="37">
        <v>34</v>
      </c>
      <c r="H6" s="20">
        <f>Tabla1345678910[[#This Row],[Nº Hombres]]*100/$G$2</f>
        <v>3.6996735582154514</v>
      </c>
      <c r="I6" s="44">
        <f>Tabla1345678910[[#This Row],[Nº Mujeres]]+Tabla1345678910[[#This Row],[Nº Hombres]]</f>
        <v>67</v>
      </c>
    </row>
    <row r="7" spans="1:9" ht="26.25" x14ac:dyDescent="0.25">
      <c r="A7" s="11">
        <v>2018</v>
      </c>
      <c r="B7" s="11" t="s">
        <v>60</v>
      </c>
      <c r="C7" s="23" t="s">
        <v>34</v>
      </c>
      <c r="D7" s="11" t="s">
        <v>12</v>
      </c>
      <c r="E7" s="37">
        <v>22</v>
      </c>
      <c r="F7" s="43">
        <f>Tabla1345678910[[#This Row],[Nº Mujeres]]*100/$E$2</f>
        <v>3.3587786259541983</v>
      </c>
      <c r="G7" s="37">
        <v>39</v>
      </c>
      <c r="H7" s="20">
        <f>Tabla1345678910[[#This Row],[Nº Hombres]]*100/$G$2</f>
        <v>4.2437431991294883</v>
      </c>
      <c r="I7" s="44">
        <f>Tabla1345678910[[#This Row],[Nº Mujeres]]+Tabla1345678910[[#This Row],[Nº Hombres]]</f>
        <v>61</v>
      </c>
    </row>
    <row r="8" spans="1:9" ht="26.25" x14ac:dyDescent="0.25">
      <c r="A8" s="11">
        <v>2018</v>
      </c>
      <c r="B8" s="11" t="s">
        <v>60</v>
      </c>
      <c r="C8" s="23" t="s">
        <v>34</v>
      </c>
      <c r="D8" s="11" t="s">
        <v>13</v>
      </c>
      <c r="E8" s="37">
        <v>20</v>
      </c>
      <c r="F8" s="43">
        <f>Tabla1345678910[[#This Row],[Nº Mujeres]]*100/$E$2</f>
        <v>3.053435114503817</v>
      </c>
      <c r="G8" s="37">
        <v>28</v>
      </c>
      <c r="H8" s="20">
        <f>Tabla1345678910[[#This Row],[Nº Hombres]]*100/$G$2</f>
        <v>3.046789989118607</v>
      </c>
      <c r="I8" s="44">
        <f>Tabla1345678910[[#This Row],[Nº Mujeres]]+Tabla1345678910[[#This Row],[Nº Hombres]]</f>
        <v>48</v>
      </c>
    </row>
    <row r="9" spans="1:9" ht="26.25" x14ac:dyDescent="0.25">
      <c r="A9" s="11">
        <v>2018</v>
      </c>
      <c r="B9" s="11" t="s">
        <v>60</v>
      </c>
      <c r="C9" s="23" t="s">
        <v>34</v>
      </c>
      <c r="D9" s="11" t="s">
        <v>14</v>
      </c>
      <c r="E9" s="37">
        <v>39</v>
      </c>
      <c r="F9" s="43">
        <f>Tabla1345678910[[#This Row],[Nº Mujeres]]*100/$E$2</f>
        <v>5.9541984732824424</v>
      </c>
      <c r="G9" s="37">
        <v>43</v>
      </c>
      <c r="H9" s="20">
        <f>Tabla1345678910[[#This Row],[Nº Hombres]]*100/$G$2</f>
        <v>4.6789989118607185</v>
      </c>
      <c r="I9" s="44">
        <f>Tabla1345678910[[#This Row],[Nº Mujeres]]+Tabla1345678910[[#This Row],[Nº Hombres]]</f>
        <v>82</v>
      </c>
    </row>
    <row r="10" spans="1:9" ht="26.25" x14ac:dyDescent="0.25">
      <c r="A10" s="11">
        <v>2018</v>
      </c>
      <c r="B10" s="11" t="s">
        <v>60</v>
      </c>
      <c r="C10" s="23" t="s">
        <v>34</v>
      </c>
      <c r="D10" s="11" t="s">
        <v>15</v>
      </c>
      <c r="E10" s="37">
        <v>59</v>
      </c>
      <c r="F10" s="43">
        <f>Tabla1345678910[[#This Row],[Nº Mujeres]]*100/$E$2</f>
        <v>9.007633587786259</v>
      </c>
      <c r="G10" s="37">
        <v>123</v>
      </c>
      <c r="H10" s="20">
        <f>Tabla1345678910[[#This Row],[Nº Hombres]]*100/$G$2</f>
        <v>13.38411316648531</v>
      </c>
      <c r="I10" s="44">
        <f>Tabla1345678910[[#This Row],[Nº Mujeres]]+Tabla1345678910[[#This Row],[Nº Hombres]]</f>
        <v>182</v>
      </c>
    </row>
    <row r="11" spans="1:9" ht="26.25" x14ac:dyDescent="0.25">
      <c r="A11" s="11">
        <v>2018</v>
      </c>
      <c r="B11" s="11" t="s">
        <v>60</v>
      </c>
      <c r="C11" s="23" t="s">
        <v>34</v>
      </c>
      <c r="D11" s="11" t="s">
        <v>16</v>
      </c>
      <c r="E11" s="37">
        <v>74</v>
      </c>
      <c r="F11" s="43">
        <f>Tabla1345678910[[#This Row],[Nº Mujeres]]*100/$E$2</f>
        <v>11.297709923664122</v>
      </c>
      <c r="G11" s="37">
        <v>125</v>
      </c>
      <c r="H11" s="20">
        <f>Tabla1345678910[[#This Row],[Nº Hombres]]*100/$G$2</f>
        <v>13.601741022850925</v>
      </c>
      <c r="I11" s="44">
        <f>Tabla1345678910[[#This Row],[Nº Mujeres]]+Tabla1345678910[[#This Row],[Nº Hombres]]</f>
        <v>199</v>
      </c>
    </row>
    <row r="12" spans="1:9" ht="26.25" x14ac:dyDescent="0.25">
      <c r="A12" s="11">
        <v>2018</v>
      </c>
      <c r="B12" s="11" t="s">
        <v>60</v>
      </c>
      <c r="C12" s="23" t="s">
        <v>34</v>
      </c>
      <c r="D12" s="11" t="s">
        <v>17</v>
      </c>
      <c r="E12" s="37">
        <v>88</v>
      </c>
      <c r="F12" s="43">
        <f>Tabla1345678910[[#This Row],[Nº Mujeres]]*100/$E$2</f>
        <v>13.435114503816793</v>
      </c>
      <c r="G12" s="37">
        <v>109</v>
      </c>
      <c r="H12" s="20">
        <f>Tabla1345678910[[#This Row],[Nº Hombres]]*100/$G$2</f>
        <v>11.860718171926006</v>
      </c>
      <c r="I12" s="44">
        <f>Tabla1345678910[[#This Row],[Nº Mujeres]]+Tabla1345678910[[#This Row],[Nº Hombres]]</f>
        <v>197</v>
      </c>
    </row>
    <row r="13" spans="1:9" ht="26.25" x14ac:dyDescent="0.25">
      <c r="A13" s="11">
        <v>2018</v>
      </c>
      <c r="B13" s="11" t="s">
        <v>60</v>
      </c>
      <c r="C13" s="23" t="s">
        <v>34</v>
      </c>
      <c r="D13" s="11" t="s">
        <v>18</v>
      </c>
      <c r="E13" s="37">
        <v>84</v>
      </c>
      <c r="F13" s="43">
        <f>Tabla1345678910[[#This Row],[Nº Mujeres]]*100/$E$2</f>
        <v>12.824427480916031</v>
      </c>
      <c r="G13" s="37">
        <v>122</v>
      </c>
      <c r="H13" s="20">
        <f>Tabla1345678910[[#This Row],[Nº Hombres]]*100/$G$2</f>
        <v>13.275299238302503</v>
      </c>
      <c r="I13" s="44">
        <f>Tabla1345678910[[#This Row],[Nº Mujeres]]+Tabla1345678910[[#This Row],[Nº Hombres]]</f>
        <v>206</v>
      </c>
    </row>
    <row r="14" spans="1:9" ht="26.25" x14ac:dyDescent="0.25">
      <c r="A14" s="11">
        <v>2018</v>
      </c>
      <c r="B14" s="11" t="s">
        <v>60</v>
      </c>
      <c r="C14" s="23" t="s">
        <v>34</v>
      </c>
      <c r="D14" s="11" t="s">
        <v>19</v>
      </c>
      <c r="E14" s="37">
        <v>60</v>
      </c>
      <c r="F14" s="43">
        <f>Tabla1345678910[[#This Row],[Nº Mujeres]]*100/$E$2</f>
        <v>9.1603053435114496</v>
      </c>
      <c r="G14" s="37">
        <v>105</v>
      </c>
      <c r="H14" s="20">
        <f>Tabla1345678910[[#This Row],[Nº Hombres]]*100/$G$2</f>
        <v>11.425462459194778</v>
      </c>
      <c r="I14" s="44">
        <f>Tabla1345678910[[#This Row],[Nº Mujeres]]+Tabla1345678910[[#This Row],[Nº Hombres]]</f>
        <v>165</v>
      </c>
    </row>
    <row r="15" spans="1:9" ht="26.25" x14ac:dyDescent="0.25">
      <c r="A15" s="11">
        <v>2018</v>
      </c>
      <c r="B15" s="11" t="s">
        <v>60</v>
      </c>
      <c r="C15" s="23" t="s">
        <v>34</v>
      </c>
      <c r="D15" s="11" t="s">
        <v>20</v>
      </c>
      <c r="E15" s="37">
        <v>58</v>
      </c>
      <c r="F15" s="43">
        <f>Tabla1345678910[[#This Row],[Nº Mujeres]]*100/$E$2</f>
        <v>8.8549618320610683</v>
      </c>
      <c r="G15" s="37">
        <v>75</v>
      </c>
      <c r="H15" s="20">
        <f>Tabla1345678910[[#This Row],[Nº Hombres]]*100/$G$2</f>
        <v>8.1610446137105548</v>
      </c>
      <c r="I15" s="44">
        <f>Tabla1345678910[[#This Row],[Nº Mujeres]]+Tabla1345678910[[#This Row],[Nº Hombres]]</f>
        <v>133</v>
      </c>
    </row>
    <row r="16" spans="1:9" ht="26.25" x14ac:dyDescent="0.25">
      <c r="A16" s="11">
        <v>2018</v>
      </c>
      <c r="B16" s="11" t="s">
        <v>60</v>
      </c>
      <c r="C16" s="23" t="s">
        <v>34</v>
      </c>
      <c r="D16" s="11" t="s">
        <v>21</v>
      </c>
      <c r="E16" s="37">
        <v>42</v>
      </c>
      <c r="F16" s="43">
        <f>Tabla1345678910[[#This Row],[Nº Mujeres]]*100/$E$2</f>
        <v>6.4122137404580153</v>
      </c>
      <c r="G16" s="37">
        <v>51</v>
      </c>
      <c r="H16" s="20">
        <f>Tabla1345678910[[#This Row],[Nº Hombres]]*100/$G$2</f>
        <v>5.5495103373231771</v>
      </c>
      <c r="I16" s="44">
        <f>Tabla1345678910[[#This Row],[Nº Mujeres]]+Tabla1345678910[[#This Row],[Nº Hombres]]</f>
        <v>93</v>
      </c>
    </row>
    <row r="17" spans="1:9" ht="26.25" x14ac:dyDescent="0.25">
      <c r="A17" s="11">
        <v>2018</v>
      </c>
      <c r="B17" s="11" t="s">
        <v>60</v>
      </c>
      <c r="C17" s="23" t="s">
        <v>34</v>
      </c>
      <c r="D17" s="11" t="s">
        <v>22</v>
      </c>
      <c r="E17" s="37">
        <v>64</v>
      </c>
      <c r="F17" s="43">
        <f>Tabla1345678910[[#This Row],[Nº Mujeres]]*100/$E$2</f>
        <v>9.770992366412214</v>
      </c>
      <c r="G17" s="37">
        <v>54</v>
      </c>
      <c r="H17" s="20">
        <f>Tabla1345678910[[#This Row],[Nº Hombres]]*100/$G$2</f>
        <v>5.8759521218715998</v>
      </c>
      <c r="I17" s="44">
        <f>Tabla1345678910[[#This Row],[Nº Mujeres]]+Tabla1345678910[[#This Row],[Nº Hombres]]</f>
        <v>118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7"/>
  <sheetViews>
    <sheetView workbookViewId="0">
      <selection activeCell="E2" sqref="E2:I17"/>
    </sheetView>
  </sheetViews>
  <sheetFormatPr baseColWidth="10" defaultRowHeight="12.75" x14ac:dyDescent="0.2"/>
  <cols>
    <col min="1" max="1" width="11.42578125" style="22"/>
    <col min="2" max="2" width="20.5703125" style="22" customWidth="1"/>
    <col min="3" max="3" width="16" style="22" customWidth="1"/>
    <col min="4" max="4" width="24.42578125" style="22" customWidth="1"/>
    <col min="5" max="16384" width="11.42578125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ht="15" x14ac:dyDescent="0.25">
      <c r="A2" s="11">
        <v>2018</v>
      </c>
      <c r="B2" s="11" t="s">
        <v>60</v>
      </c>
      <c r="C2" s="23" t="s">
        <v>40</v>
      </c>
      <c r="D2" s="24" t="s">
        <v>42</v>
      </c>
      <c r="E2" s="37">
        <v>19978</v>
      </c>
      <c r="F2" s="41">
        <f>Tabla1345678910131516[[#This Row],[Nº Mujeres]]*100/Tabla1345678910131516[[#This Row],[Total]]</f>
        <v>50.304678450924108</v>
      </c>
      <c r="G2" s="37">
        <v>19736</v>
      </c>
      <c r="H2" s="20">
        <f>Tabla1345678910131516[[#This Row],[Nº Hombres]]*100/40484</f>
        <v>48.750123505582451</v>
      </c>
      <c r="I2" s="37">
        <v>39714</v>
      </c>
    </row>
    <row r="3" spans="1:9" ht="25.5" x14ac:dyDescent="0.2">
      <c r="A3" s="11">
        <v>2018</v>
      </c>
      <c r="B3" s="11" t="s">
        <v>60</v>
      </c>
      <c r="C3" s="23" t="s">
        <v>40</v>
      </c>
      <c r="D3" s="27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</row>
    <row r="4" spans="1:9" ht="15" x14ac:dyDescent="0.25">
      <c r="A4" s="11">
        <v>2018</v>
      </c>
      <c r="B4" s="11" t="s">
        <v>60</v>
      </c>
      <c r="C4" s="23" t="s">
        <v>40</v>
      </c>
      <c r="D4" s="24" t="s">
        <v>9</v>
      </c>
      <c r="E4" s="37">
        <v>34</v>
      </c>
      <c r="F4" s="43">
        <f>Tabla1345678910131516[[#This Row],[Nº Mujeres]]*100/$E$2</f>
        <v>0.17018720592651918</v>
      </c>
      <c r="G4" s="37">
        <v>24</v>
      </c>
      <c r="H4" s="20">
        <f>Tabla1345678910131516[[#This Row],[Nº Hombres]]*100/$G$2</f>
        <v>0.12160518848804215</v>
      </c>
      <c r="I4" s="44">
        <f>Tabla1345678910131516[[#This Row],[Nº Mujeres]]+Tabla1345678910131516[[#This Row],[Nº Hombres]]</f>
        <v>58</v>
      </c>
    </row>
    <row r="5" spans="1:9" ht="15" x14ac:dyDescent="0.25">
      <c r="A5" s="11">
        <v>2018</v>
      </c>
      <c r="B5" s="11" t="s">
        <v>60</v>
      </c>
      <c r="C5" s="23" t="s">
        <v>40</v>
      </c>
      <c r="D5" s="24" t="s">
        <v>10</v>
      </c>
      <c r="E5" s="37">
        <v>323</v>
      </c>
      <c r="F5" s="43">
        <f>Tabla1345678910131516[[#This Row],[Nº Mujeres]]*100/$E$2</f>
        <v>1.6167784563019321</v>
      </c>
      <c r="G5" s="37">
        <v>288</v>
      </c>
      <c r="H5" s="20">
        <f>Tabla1345678910131516[[#This Row],[Nº Hombres]]*100/$G$2</f>
        <v>1.4592622618565059</v>
      </c>
      <c r="I5" s="44">
        <f>Tabla1345678910131516[[#This Row],[Nº Mujeres]]+Tabla1345678910131516[[#This Row],[Nº Hombres]]</f>
        <v>611</v>
      </c>
    </row>
    <row r="6" spans="1:9" ht="15" x14ac:dyDescent="0.25">
      <c r="A6" s="11">
        <v>2018</v>
      </c>
      <c r="B6" s="11" t="s">
        <v>60</v>
      </c>
      <c r="C6" s="23" t="s">
        <v>40</v>
      </c>
      <c r="D6" s="24" t="s">
        <v>11</v>
      </c>
      <c r="E6" s="37">
        <v>491</v>
      </c>
      <c r="F6" s="43">
        <f>Tabla1345678910131516[[#This Row],[Nº Mujeres]]*100/$E$2</f>
        <v>2.4577034738212031</v>
      </c>
      <c r="G6" s="37">
        <v>501</v>
      </c>
      <c r="H6" s="20">
        <f>Tabla1345678910131516[[#This Row],[Nº Hombres]]*100/$G$2</f>
        <v>2.53850830968788</v>
      </c>
      <c r="I6" s="44">
        <f>Tabla1345678910131516[[#This Row],[Nº Mujeres]]+Tabla1345678910131516[[#This Row],[Nº Hombres]]</f>
        <v>992</v>
      </c>
    </row>
    <row r="7" spans="1:9" ht="15" x14ac:dyDescent="0.25">
      <c r="A7" s="11">
        <v>2018</v>
      </c>
      <c r="B7" s="11" t="s">
        <v>60</v>
      </c>
      <c r="C7" s="23" t="s">
        <v>40</v>
      </c>
      <c r="D7" s="24" t="s">
        <v>12</v>
      </c>
      <c r="E7" s="37">
        <v>443</v>
      </c>
      <c r="F7" s="43">
        <f>Tabla1345678910131516[[#This Row],[Nº Mujeres]]*100/$E$2</f>
        <v>2.2174391831014115</v>
      </c>
      <c r="G7" s="37">
        <v>500</v>
      </c>
      <c r="H7" s="20">
        <f>Tabla1345678910131516[[#This Row],[Nº Hombres]]*100/$G$2</f>
        <v>2.5334414268342118</v>
      </c>
      <c r="I7" s="44">
        <f>Tabla1345678910131516[[#This Row],[Nº Mujeres]]+Tabla1345678910131516[[#This Row],[Nº Hombres]]</f>
        <v>943</v>
      </c>
    </row>
    <row r="8" spans="1:9" ht="15" x14ac:dyDescent="0.25">
      <c r="A8" s="11">
        <v>2018</v>
      </c>
      <c r="B8" s="11" t="s">
        <v>60</v>
      </c>
      <c r="C8" s="23" t="s">
        <v>40</v>
      </c>
      <c r="D8" s="24" t="s">
        <v>13</v>
      </c>
      <c r="E8" s="37">
        <v>635</v>
      </c>
      <c r="F8" s="43">
        <f>Tabla1345678910131516[[#This Row],[Nº Mujeres]]*100/$E$2</f>
        <v>3.1784963459805788</v>
      </c>
      <c r="G8" s="37">
        <v>576</v>
      </c>
      <c r="H8" s="20">
        <f>Tabla1345678910131516[[#This Row],[Nº Hombres]]*100/$G$2</f>
        <v>2.9185245237130117</v>
      </c>
      <c r="I8" s="44">
        <f>Tabla1345678910131516[[#This Row],[Nº Mujeres]]+Tabla1345678910131516[[#This Row],[Nº Hombres]]</f>
        <v>1211</v>
      </c>
    </row>
    <row r="9" spans="1:9" ht="15" x14ac:dyDescent="0.25">
      <c r="A9" s="11">
        <v>2018</v>
      </c>
      <c r="B9" s="11" t="s">
        <v>60</v>
      </c>
      <c r="C9" s="23" t="s">
        <v>40</v>
      </c>
      <c r="D9" s="24" t="s">
        <v>14</v>
      </c>
      <c r="E9" s="37">
        <v>949</v>
      </c>
      <c r="F9" s="43">
        <f>Tabla1345678910131516[[#This Row],[Nº Mujeres]]*100/$E$2</f>
        <v>4.7502252477725495</v>
      </c>
      <c r="G9" s="37">
        <v>954</v>
      </c>
      <c r="H9" s="20">
        <f>Tabla1345678910131516[[#This Row],[Nº Hombres]]*100/$G$2</f>
        <v>4.8338062423996755</v>
      </c>
      <c r="I9" s="44">
        <f>Tabla1345678910131516[[#This Row],[Nº Mujeres]]+Tabla1345678910131516[[#This Row],[Nº Hombres]]</f>
        <v>1903</v>
      </c>
    </row>
    <row r="10" spans="1:9" ht="15" x14ac:dyDescent="0.25">
      <c r="A10" s="11">
        <v>2018</v>
      </c>
      <c r="B10" s="11" t="s">
        <v>60</v>
      </c>
      <c r="C10" s="23" t="s">
        <v>40</v>
      </c>
      <c r="D10" s="24" t="s">
        <v>15</v>
      </c>
      <c r="E10" s="37">
        <v>1860</v>
      </c>
      <c r="F10" s="43">
        <f>Tabla1345678910131516[[#This Row],[Nº Mujeres]]*100/$E$2</f>
        <v>9.310241265391932</v>
      </c>
      <c r="G10" s="37">
        <v>2022</v>
      </c>
      <c r="H10" s="20">
        <f>Tabla1345678910131516[[#This Row],[Nº Hombres]]*100/$G$2</f>
        <v>10.245237130117552</v>
      </c>
      <c r="I10" s="44">
        <f>Tabla1345678910131516[[#This Row],[Nº Mujeres]]+Tabla1345678910131516[[#This Row],[Nº Hombres]]</f>
        <v>3882</v>
      </c>
    </row>
    <row r="11" spans="1:9" ht="15" x14ac:dyDescent="0.25">
      <c r="A11" s="11">
        <v>2018</v>
      </c>
      <c r="B11" s="11" t="s">
        <v>60</v>
      </c>
      <c r="C11" s="23" t="s">
        <v>40</v>
      </c>
      <c r="D11" s="24" t="s">
        <v>16</v>
      </c>
      <c r="E11" s="37">
        <v>2788</v>
      </c>
      <c r="F11" s="43">
        <f>Tabla1345678910131516[[#This Row],[Nº Mujeres]]*100/$E$2</f>
        <v>13.955350885974571</v>
      </c>
      <c r="G11" s="37">
        <v>2790</v>
      </c>
      <c r="H11" s="20">
        <f>Tabla1345678910131516[[#This Row],[Nº Hombres]]*100/$G$2</f>
        <v>14.1366031617349</v>
      </c>
      <c r="I11" s="44">
        <f>Tabla1345678910131516[[#This Row],[Nº Mujeres]]+Tabla1345678910131516[[#This Row],[Nº Hombres]]</f>
        <v>5578</v>
      </c>
    </row>
    <row r="12" spans="1:9" ht="15" x14ac:dyDescent="0.25">
      <c r="A12" s="11">
        <v>2018</v>
      </c>
      <c r="B12" s="11" t="s">
        <v>60</v>
      </c>
      <c r="C12" s="23" t="s">
        <v>40</v>
      </c>
      <c r="D12" s="24" t="s">
        <v>17</v>
      </c>
      <c r="E12" s="37">
        <v>2644</v>
      </c>
      <c r="F12" s="43">
        <f>Tabla1345678910131516[[#This Row],[Nº Mujeres]]*100/$E$2</f>
        <v>13.234558013815196</v>
      </c>
      <c r="G12" s="37">
        <v>2700</v>
      </c>
      <c r="H12" s="20">
        <f>Tabla1345678910131516[[#This Row],[Nº Hombres]]*100/$G$2</f>
        <v>13.680583704904743</v>
      </c>
      <c r="I12" s="44">
        <f>Tabla1345678910131516[[#This Row],[Nº Mujeres]]+Tabla1345678910131516[[#This Row],[Nº Hombres]]</f>
        <v>5344</v>
      </c>
    </row>
    <row r="13" spans="1:9" ht="15" x14ac:dyDescent="0.25">
      <c r="A13" s="11">
        <v>2018</v>
      </c>
      <c r="B13" s="11" t="s">
        <v>60</v>
      </c>
      <c r="C13" s="23" t="s">
        <v>40</v>
      </c>
      <c r="D13" s="24" t="s">
        <v>18</v>
      </c>
      <c r="E13" s="37">
        <v>2300</v>
      </c>
      <c r="F13" s="43">
        <f>Tabla1345678910131516[[#This Row],[Nº Mujeres]]*100/$E$2</f>
        <v>11.512663930323356</v>
      </c>
      <c r="G13" s="37">
        <v>2348</v>
      </c>
      <c r="H13" s="20">
        <f>Tabla1345678910131516[[#This Row],[Nº Hombres]]*100/$G$2</f>
        <v>11.897040940413458</v>
      </c>
      <c r="I13" s="44">
        <f>Tabla1345678910131516[[#This Row],[Nº Mujeres]]+Tabla1345678910131516[[#This Row],[Nº Hombres]]</f>
        <v>4648</v>
      </c>
    </row>
    <row r="14" spans="1:9" ht="15" x14ac:dyDescent="0.25">
      <c r="A14" s="11">
        <v>2018</v>
      </c>
      <c r="B14" s="11" t="s">
        <v>60</v>
      </c>
      <c r="C14" s="23" t="s">
        <v>40</v>
      </c>
      <c r="D14" s="24" t="s">
        <v>19</v>
      </c>
      <c r="E14" s="37">
        <v>1996</v>
      </c>
      <c r="F14" s="43">
        <f>Tabla1345678910131516[[#This Row],[Nº Mujeres]]*100/$E$2</f>
        <v>9.9909900890980072</v>
      </c>
      <c r="G14" s="37">
        <v>1924</v>
      </c>
      <c r="H14" s="20">
        <f>Tabla1345678910131516[[#This Row],[Nº Hombres]]*100/$G$2</f>
        <v>9.7486826104580455</v>
      </c>
      <c r="I14" s="44">
        <f>Tabla1345678910131516[[#This Row],[Nº Mujeres]]+Tabla1345678910131516[[#This Row],[Nº Hombres]]</f>
        <v>3920</v>
      </c>
    </row>
    <row r="15" spans="1:9" ht="15" x14ac:dyDescent="0.25">
      <c r="A15" s="11">
        <v>2018</v>
      </c>
      <c r="B15" s="11" t="s">
        <v>60</v>
      </c>
      <c r="C15" s="23" t="s">
        <v>40</v>
      </c>
      <c r="D15" s="24" t="s">
        <v>20</v>
      </c>
      <c r="E15" s="37">
        <v>1746</v>
      </c>
      <c r="F15" s="43">
        <f>Tabla1345678910131516[[#This Row],[Nº Mujeres]]*100/$E$2</f>
        <v>8.7396135749324255</v>
      </c>
      <c r="G15" s="37">
        <v>1804</v>
      </c>
      <c r="H15" s="20">
        <f>Tabla1345678910131516[[#This Row],[Nº Hombres]]*100/$G$2</f>
        <v>9.1406566680178347</v>
      </c>
      <c r="I15" s="44">
        <f>Tabla1345678910131516[[#This Row],[Nº Mujeres]]+Tabla1345678910131516[[#This Row],[Nº Hombres]]</f>
        <v>3550</v>
      </c>
    </row>
    <row r="16" spans="1:9" ht="15" x14ac:dyDescent="0.25">
      <c r="A16" s="11">
        <v>2018</v>
      </c>
      <c r="B16" s="11" t="s">
        <v>60</v>
      </c>
      <c r="C16" s="23" t="s">
        <v>40</v>
      </c>
      <c r="D16" s="24" t="s">
        <v>21</v>
      </c>
      <c r="E16" s="37">
        <v>1527</v>
      </c>
      <c r="F16" s="43">
        <f>Tabla1345678910131516[[#This Row],[Nº Mujeres]]*100/$E$2</f>
        <v>7.6434077485233756</v>
      </c>
      <c r="G16" s="37">
        <v>1452</v>
      </c>
      <c r="H16" s="20">
        <f>Tabla1345678910131516[[#This Row],[Nº Hombres]]*100/$G$2</f>
        <v>7.3571139035265505</v>
      </c>
      <c r="I16" s="44">
        <f>Tabla1345678910131516[[#This Row],[Nº Mujeres]]+Tabla1345678910131516[[#This Row],[Nº Hombres]]</f>
        <v>2979</v>
      </c>
    </row>
    <row r="17" spans="1:9" ht="15" x14ac:dyDescent="0.25">
      <c r="A17" s="11">
        <v>2018</v>
      </c>
      <c r="B17" s="11" t="s">
        <v>60</v>
      </c>
      <c r="C17" s="23" t="s">
        <v>40</v>
      </c>
      <c r="D17" s="24" t="s">
        <v>22</v>
      </c>
      <c r="E17" s="37">
        <v>2242</v>
      </c>
      <c r="F17" s="43">
        <f>Tabla1345678910131516[[#This Row],[Nº Mujeres]]*100/$E$2</f>
        <v>11.222344579036941</v>
      </c>
      <c r="G17" s="37">
        <v>1853</v>
      </c>
      <c r="H17" s="20">
        <f>Tabla1345678910131516[[#This Row],[Nº Hombres]]*100/$G$2</f>
        <v>9.3889339278475887</v>
      </c>
      <c r="I17" s="44">
        <f>Tabla1345678910131516[[#This Row],[Nº Mujeres]]+Tabla1345678910131516[[#This Row],[Nº Hombres]]</f>
        <v>4095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7"/>
  <sheetViews>
    <sheetView workbookViewId="0">
      <selection activeCell="L12" sqref="L12"/>
    </sheetView>
  </sheetViews>
  <sheetFormatPr baseColWidth="10" defaultColWidth="18.7109375" defaultRowHeight="12.75" x14ac:dyDescent="0.2"/>
  <cols>
    <col min="1" max="1" width="9.28515625" style="22" customWidth="1"/>
    <col min="2" max="2" width="18.7109375" style="22"/>
    <col min="3" max="3" width="14" style="22" customWidth="1"/>
    <col min="4" max="4" width="25.140625" style="22" customWidth="1"/>
    <col min="5" max="5" width="10.7109375" style="22" customWidth="1"/>
    <col min="6" max="6" width="14.5703125" style="22" customWidth="1"/>
    <col min="7" max="7" width="10.5703125" style="22" customWidth="1"/>
    <col min="8" max="8" width="14.5703125" style="22" customWidth="1"/>
    <col min="9" max="9" width="10.85546875" style="22" customWidth="1"/>
    <col min="10" max="16384" width="18.7109375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ht="32.25" customHeight="1" x14ac:dyDescent="0.25">
      <c r="A2" s="11">
        <v>2018</v>
      </c>
      <c r="B2" s="11" t="s">
        <v>60</v>
      </c>
      <c r="C2" s="40" t="s">
        <v>41</v>
      </c>
      <c r="D2" s="11" t="s">
        <v>7</v>
      </c>
      <c r="E2" s="37">
        <v>82</v>
      </c>
      <c r="F2" s="41">
        <f>Tabla134567891013151617[[#This Row],[Nº Mujeres]]*100/Tabla134567891013151617[[#This Row],[Total]]</f>
        <v>41.414141414141412</v>
      </c>
      <c r="G2" s="37">
        <v>116</v>
      </c>
      <c r="H2" s="20">
        <f>Tabla134567891013151617[[#This Row],[Nº Hombres]]*100/201</f>
        <v>57.711442786069654</v>
      </c>
      <c r="I2" s="37">
        <v>198</v>
      </c>
    </row>
    <row r="3" spans="1:9" ht="32.25" customHeight="1" x14ac:dyDescent="0.2">
      <c r="A3" s="11">
        <v>2018</v>
      </c>
      <c r="B3" s="11" t="s">
        <v>60</v>
      </c>
      <c r="C3" s="40" t="s">
        <v>41</v>
      </c>
      <c r="D3" s="42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</row>
    <row r="4" spans="1:9" ht="32.25" customHeight="1" x14ac:dyDescent="0.2">
      <c r="A4" s="11">
        <v>2018</v>
      </c>
      <c r="B4" s="11" t="s">
        <v>60</v>
      </c>
      <c r="C4" s="40" t="s">
        <v>41</v>
      </c>
      <c r="D4" s="11" t="s">
        <v>9</v>
      </c>
      <c r="E4" s="66">
        <v>0</v>
      </c>
      <c r="F4" s="43">
        <f>Tabla134567891013151617[[#This Row],[Nº Mujeres]]*100/$E$2</f>
        <v>0</v>
      </c>
      <c r="G4" s="66">
        <v>0</v>
      </c>
      <c r="H4" s="20">
        <f>Tabla134567891013151617[[#This Row],[Nº Hombres]]*100/$G$2</f>
        <v>0</v>
      </c>
      <c r="I4" s="44">
        <f>Tabla134567891013151617[[#This Row],[Nº Mujeres]]+Tabla134567891013151617[[#This Row],[Nº Hombres]]</f>
        <v>0</v>
      </c>
    </row>
    <row r="5" spans="1:9" ht="32.25" customHeight="1" x14ac:dyDescent="0.2">
      <c r="A5" s="11">
        <v>2018</v>
      </c>
      <c r="B5" s="11" t="s">
        <v>60</v>
      </c>
      <c r="C5" s="40" t="s">
        <v>41</v>
      </c>
      <c r="D5" s="11" t="s">
        <v>10</v>
      </c>
      <c r="E5" s="66">
        <v>0</v>
      </c>
      <c r="F5" s="43">
        <f>Tabla134567891013151617[[#This Row],[Nº Mujeres]]*100/$E$2</f>
        <v>0</v>
      </c>
      <c r="G5" s="66">
        <v>0</v>
      </c>
      <c r="H5" s="20">
        <f>Tabla134567891013151617[[#This Row],[Nº Hombres]]*100/$G$2</f>
        <v>0</v>
      </c>
      <c r="I5" s="44">
        <f>Tabla134567891013151617[[#This Row],[Nº Mujeres]]+Tabla134567891013151617[[#This Row],[Nº Hombres]]</f>
        <v>0</v>
      </c>
    </row>
    <row r="6" spans="1:9" ht="32.25" customHeight="1" x14ac:dyDescent="0.25">
      <c r="A6" s="11">
        <v>2018</v>
      </c>
      <c r="B6" s="11" t="s">
        <v>60</v>
      </c>
      <c r="C6" s="40" t="s">
        <v>41</v>
      </c>
      <c r="D6" s="11" t="s">
        <v>11</v>
      </c>
      <c r="E6" s="37">
        <v>2</v>
      </c>
      <c r="F6" s="43">
        <f>Tabla134567891013151617[[#This Row],[Nº Mujeres]]*100/$E$2</f>
        <v>2.4390243902439024</v>
      </c>
      <c r="G6" s="37">
        <v>2</v>
      </c>
      <c r="H6" s="20">
        <f>Tabla134567891013151617[[#This Row],[Nº Hombres]]*100/$G$2</f>
        <v>1.7241379310344827</v>
      </c>
      <c r="I6" s="44">
        <f>Tabla134567891013151617[[#This Row],[Nº Mujeres]]+Tabla134567891013151617[[#This Row],[Nº Hombres]]</f>
        <v>4</v>
      </c>
    </row>
    <row r="7" spans="1:9" ht="32.25" customHeight="1" x14ac:dyDescent="0.25">
      <c r="A7" s="11">
        <v>2018</v>
      </c>
      <c r="B7" s="11" t="s">
        <v>60</v>
      </c>
      <c r="C7" s="40" t="s">
        <v>41</v>
      </c>
      <c r="D7" s="11" t="s">
        <v>12</v>
      </c>
      <c r="E7" s="37">
        <v>2</v>
      </c>
      <c r="F7" s="43">
        <f>Tabla134567891013151617[[#This Row],[Nº Mujeres]]*100/$E$2</f>
        <v>2.4390243902439024</v>
      </c>
      <c r="G7" s="37"/>
      <c r="H7" s="20">
        <f>Tabla134567891013151617[[#This Row],[Nº Hombres]]*100/$G$2</f>
        <v>0</v>
      </c>
      <c r="I7" s="44">
        <f>Tabla134567891013151617[[#This Row],[Nº Mujeres]]+Tabla134567891013151617[[#This Row],[Nº Hombres]]</f>
        <v>2</v>
      </c>
    </row>
    <row r="8" spans="1:9" ht="32.25" customHeight="1" x14ac:dyDescent="0.25">
      <c r="A8" s="11">
        <v>2018</v>
      </c>
      <c r="B8" s="11" t="s">
        <v>60</v>
      </c>
      <c r="C8" s="40" t="s">
        <v>41</v>
      </c>
      <c r="D8" s="11" t="s">
        <v>13</v>
      </c>
      <c r="E8" s="37">
        <v>3</v>
      </c>
      <c r="F8" s="43">
        <f>Tabla134567891013151617[[#This Row],[Nº Mujeres]]*100/$E$2</f>
        <v>3.6585365853658538</v>
      </c>
      <c r="G8" s="37">
        <v>5</v>
      </c>
      <c r="H8" s="20">
        <f>Tabla134567891013151617[[#This Row],[Nº Hombres]]*100/$G$2</f>
        <v>4.3103448275862073</v>
      </c>
      <c r="I8" s="44">
        <f>Tabla134567891013151617[[#This Row],[Nº Mujeres]]+Tabla134567891013151617[[#This Row],[Nº Hombres]]</f>
        <v>8</v>
      </c>
    </row>
    <row r="9" spans="1:9" ht="32.25" customHeight="1" x14ac:dyDescent="0.25">
      <c r="A9" s="11">
        <v>2018</v>
      </c>
      <c r="B9" s="11" t="s">
        <v>60</v>
      </c>
      <c r="C9" s="40" t="s">
        <v>41</v>
      </c>
      <c r="D9" s="11" t="s">
        <v>14</v>
      </c>
      <c r="E9" s="37">
        <v>6</v>
      </c>
      <c r="F9" s="43">
        <f>Tabla134567891013151617[[#This Row],[Nº Mujeres]]*100/$E$2</f>
        <v>7.3170731707317076</v>
      </c>
      <c r="G9" s="37">
        <v>3</v>
      </c>
      <c r="H9" s="20">
        <f>Tabla134567891013151617[[#This Row],[Nº Hombres]]*100/$G$2</f>
        <v>2.5862068965517242</v>
      </c>
      <c r="I9" s="44">
        <f>Tabla134567891013151617[[#This Row],[Nº Mujeres]]+Tabla134567891013151617[[#This Row],[Nº Hombres]]</f>
        <v>9</v>
      </c>
    </row>
    <row r="10" spans="1:9" ht="32.25" customHeight="1" x14ac:dyDescent="0.25">
      <c r="A10" s="11">
        <v>2018</v>
      </c>
      <c r="B10" s="11" t="s">
        <v>60</v>
      </c>
      <c r="C10" s="40" t="s">
        <v>41</v>
      </c>
      <c r="D10" s="11" t="s">
        <v>15</v>
      </c>
      <c r="E10" s="37">
        <v>11</v>
      </c>
      <c r="F10" s="43">
        <f>Tabla134567891013151617[[#This Row],[Nº Mujeres]]*100/$E$2</f>
        <v>13.414634146341463</v>
      </c>
      <c r="G10" s="37">
        <v>15</v>
      </c>
      <c r="H10" s="20">
        <f>Tabla134567891013151617[[#This Row],[Nº Hombres]]*100/$G$2</f>
        <v>12.931034482758621</v>
      </c>
      <c r="I10" s="44">
        <f>Tabla134567891013151617[[#This Row],[Nº Mujeres]]+Tabla134567891013151617[[#This Row],[Nº Hombres]]</f>
        <v>26</v>
      </c>
    </row>
    <row r="11" spans="1:9" ht="32.25" customHeight="1" x14ac:dyDescent="0.25">
      <c r="A11" s="11">
        <v>2018</v>
      </c>
      <c r="B11" s="11" t="s">
        <v>60</v>
      </c>
      <c r="C11" s="40" t="s">
        <v>41</v>
      </c>
      <c r="D11" s="11" t="s">
        <v>16</v>
      </c>
      <c r="E11" s="37">
        <v>16</v>
      </c>
      <c r="F11" s="43">
        <f>Tabla134567891013151617[[#This Row],[Nº Mujeres]]*100/$E$2</f>
        <v>19.512195121951219</v>
      </c>
      <c r="G11" s="37">
        <v>31</v>
      </c>
      <c r="H11" s="20">
        <f>Tabla134567891013151617[[#This Row],[Nº Hombres]]*100/$G$2</f>
        <v>26.724137931034484</v>
      </c>
      <c r="I11" s="44">
        <f>Tabla134567891013151617[[#This Row],[Nº Mujeres]]+Tabla134567891013151617[[#This Row],[Nº Hombres]]</f>
        <v>47</v>
      </c>
    </row>
    <row r="12" spans="1:9" ht="32.25" customHeight="1" x14ac:dyDescent="0.25">
      <c r="A12" s="11">
        <v>2018</v>
      </c>
      <c r="B12" s="11" t="s">
        <v>60</v>
      </c>
      <c r="C12" s="40" t="s">
        <v>41</v>
      </c>
      <c r="D12" s="11" t="s">
        <v>17</v>
      </c>
      <c r="E12" s="37">
        <v>13</v>
      </c>
      <c r="F12" s="43">
        <f>Tabla134567891013151617[[#This Row],[Nº Mujeres]]*100/$E$2</f>
        <v>15.853658536585366</v>
      </c>
      <c r="G12" s="37">
        <v>20</v>
      </c>
      <c r="H12" s="20">
        <f>Tabla134567891013151617[[#This Row],[Nº Hombres]]*100/$G$2</f>
        <v>17.241379310344829</v>
      </c>
      <c r="I12" s="44">
        <f>Tabla134567891013151617[[#This Row],[Nº Mujeres]]+Tabla134567891013151617[[#This Row],[Nº Hombres]]</f>
        <v>33</v>
      </c>
    </row>
    <row r="13" spans="1:9" ht="32.25" customHeight="1" x14ac:dyDescent="0.25">
      <c r="A13" s="11">
        <v>2018</v>
      </c>
      <c r="B13" s="11" t="s">
        <v>60</v>
      </c>
      <c r="C13" s="40" t="s">
        <v>41</v>
      </c>
      <c r="D13" s="11" t="s">
        <v>18</v>
      </c>
      <c r="E13" s="37">
        <v>10</v>
      </c>
      <c r="F13" s="43">
        <f>Tabla134567891013151617[[#This Row],[Nº Mujeres]]*100/$E$2</f>
        <v>12.195121951219512</v>
      </c>
      <c r="G13" s="37">
        <v>15</v>
      </c>
      <c r="H13" s="20">
        <f>Tabla134567891013151617[[#This Row],[Nº Hombres]]*100/$G$2</f>
        <v>12.931034482758621</v>
      </c>
      <c r="I13" s="44">
        <f>Tabla134567891013151617[[#This Row],[Nº Mujeres]]+Tabla134567891013151617[[#This Row],[Nº Hombres]]</f>
        <v>25</v>
      </c>
    </row>
    <row r="14" spans="1:9" ht="32.25" customHeight="1" x14ac:dyDescent="0.25">
      <c r="A14" s="11">
        <v>2018</v>
      </c>
      <c r="B14" s="11" t="s">
        <v>60</v>
      </c>
      <c r="C14" s="40" t="s">
        <v>41</v>
      </c>
      <c r="D14" s="11" t="s">
        <v>19</v>
      </c>
      <c r="E14" s="37">
        <v>9</v>
      </c>
      <c r="F14" s="43">
        <f>Tabla134567891013151617[[#This Row],[Nº Mujeres]]*100/$E$2</f>
        <v>10.975609756097562</v>
      </c>
      <c r="G14" s="37">
        <v>8</v>
      </c>
      <c r="H14" s="20">
        <f>Tabla134567891013151617[[#This Row],[Nº Hombres]]*100/$G$2</f>
        <v>6.8965517241379306</v>
      </c>
      <c r="I14" s="44">
        <f>Tabla134567891013151617[[#This Row],[Nº Mujeres]]+Tabla134567891013151617[[#This Row],[Nº Hombres]]</f>
        <v>17</v>
      </c>
    </row>
    <row r="15" spans="1:9" ht="32.25" customHeight="1" x14ac:dyDescent="0.25">
      <c r="A15" s="11">
        <v>2018</v>
      </c>
      <c r="B15" s="11" t="s">
        <v>60</v>
      </c>
      <c r="C15" s="40" t="s">
        <v>41</v>
      </c>
      <c r="D15" s="11" t="s">
        <v>20</v>
      </c>
      <c r="E15" s="37">
        <v>4</v>
      </c>
      <c r="F15" s="43">
        <f>Tabla134567891013151617[[#This Row],[Nº Mujeres]]*100/$E$2</f>
        <v>4.8780487804878048</v>
      </c>
      <c r="G15" s="37">
        <v>6</v>
      </c>
      <c r="H15" s="20">
        <f>Tabla134567891013151617[[#This Row],[Nº Hombres]]*100/$G$2</f>
        <v>5.1724137931034484</v>
      </c>
      <c r="I15" s="44">
        <f>Tabla134567891013151617[[#This Row],[Nº Mujeres]]+Tabla134567891013151617[[#This Row],[Nº Hombres]]</f>
        <v>10</v>
      </c>
    </row>
    <row r="16" spans="1:9" ht="32.25" customHeight="1" x14ac:dyDescent="0.25">
      <c r="A16" s="11">
        <v>2018</v>
      </c>
      <c r="B16" s="11" t="s">
        <v>60</v>
      </c>
      <c r="C16" s="40" t="s">
        <v>41</v>
      </c>
      <c r="D16" s="11" t="s">
        <v>21</v>
      </c>
      <c r="E16" s="37">
        <v>2</v>
      </c>
      <c r="F16" s="43">
        <f>Tabla134567891013151617[[#This Row],[Nº Mujeres]]*100/$E$2</f>
        <v>2.4390243902439024</v>
      </c>
      <c r="G16" s="37">
        <v>7</v>
      </c>
      <c r="H16" s="20">
        <f>Tabla134567891013151617[[#This Row],[Nº Hombres]]*100/$G$2</f>
        <v>6.0344827586206895</v>
      </c>
      <c r="I16" s="44">
        <f>Tabla134567891013151617[[#This Row],[Nº Mujeres]]+Tabla134567891013151617[[#This Row],[Nº Hombres]]</f>
        <v>9</v>
      </c>
    </row>
    <row r="17" spans="1:9" ht="32.25" customHeight="1" x14ac:dyDescent="0.25">
      <c r="A17" s="11">
        <v>2018</v>
      </c>
      <c r="B17" s="11" t="s">
        <v>60</v>
      </c>
      <c r="C17" s="40" t="s">
        <v>41</v>
      </c>
      <c r="D17" s="11" t="s">
        <v>22</v>
      </c>
      <c r="E17" s="37">
        <v>4</v>
      </c>
      <c r="F17" s="43">
        <f>Tabla134567891013151617[[#This Row],[Nº Mujeres]]*100/$E$2</f>
        <v>4.8780487804878048</v>
      </c>
      <c r="G17" s="37">
        <v>4</v>
      </c>
      <c r="H17" s="20">
        <f>Tabla134567891013151617[[#This Row],[Nº Hombres]]*100/$G$2</f>
        <v>3.4482758620689653</v>
      </c>
      <c r="I17" s="44">
        <f>Tabla134567891013151617[[#This Row],[Nº Mujeres]]+Tabla134567891013151617[[#This Row],[Nº Hombres]]</f>
        <v>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activeCell="A2" sqref="A2:I17"/>
    </sheetView>
  </sheetViews>
  <sheetFormatPr baseColWidth="10" defaultRowHeight="12.75" x14ac:dyDescent="0.2"/>
  <cols>
    <col min="1" max="1" width="11.42578125" style="22"/>
    <col min="2" max="2" width="23" style="22" customWidth="1"/>
    <col min="3" max="3" width="30.42578125" style="22" customWidth="1"/>
    <col min="4" max="4" width="15" style="22" customWidth="1"/>
    <col min="5" max="5" width="11.42578125" style="22"/>
    <col min="6" max="6" width="11.85546875" style="22" bestFit="1" customWidth="1"/>
    <col min="7" max="16384" width="11.42578125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ht="29.25" customHeight="1" x14ac:dyDescent="0.25">
      <c r="A2" s="11">
        <v>2018</v>
      </c>
      <c r="B2" s="11" t="s">
        <v>60</v>
      </c>
      <c r="C2" s="23" t="s">
        <v>27</v>
      </c>
      <c r="D2" s="24" t="s">
        <v>42</v>
      </c>
      <c r="E2" s="37">
        <v>688</v>
      </c>
      <c r="F2" s="25">
        <f>Tabla13[[#This Row],[Nº Mujeres]]*100/1511</f>
        <v>45.532759761747187</v>
      </c>
      <c r="G2" s="7">
        <v>755</v>
      </c>
      <c r="H2" s="26">
        <f>Tabla13[[#This Row],[Nº Hombres]]*100/1511</f>
        <v>49.966909331568495</v>
      </c>
      <c r="I2" s="7">
        <v>1443</v>
      </c>
    </row>
    <row r="3" spans="1:9" ht="25.5" x14ac:dyDescent="0.2">
      <c r="A3" s="11">
        <v>2018</v>
      </c>
      <c r="B3" s="11" t="s">
        <v>60</v>
      </c>
      <c r="C3" s="23" t="s">
        <v>27</v>
      </c>
      <c r="D3" s="27" t="s">
        <v>8</v>
      </c>
      <c r="E3" s="35" t="s">
        <v>26</v>
      </c>
      <c r="F3" s="28" t="s">
        <v>26</v>
      </c>
      <c r="G3" s="28" t="s">
        <v>26</v>
      </c>
      <c r="H3" s="28" t="s">
        <v>26</v>
      </c>
      <c r="I3" s="28" t="s">
        <v>26</v>
      </c>
    </row>
    <row r="4" spans="1:9" ht="26.25" x14ac:dyDescent="0.25">
      <c r="A4" s="11">
        <v>2018</v>
      </c>
      <c r="B4" s="11" t="s">
        <v>60</v>
      </c>
      <c r="C4" s="23" t="s">
        <v>27</v>
      </c>
      <c r="D4" s="24" t="s">
        <v>9</v>
      </c>
      <c r="E4" s="37">
        <v>4</v>
      </c>
      <c r="F4" s="29">
        <f>Tabla13[[#This Row],[Nº Mujeres]]*100/$E$2</f>
        <v>0.58139534883720934</v>
      </c>
      <c r="G4" s="7">
        <v>4</v>
      </c>
      <c r="H4" s="26">
        <f>Tabla13[[#This Row],[Nº Hombres]]*100/$G$2</f>
        <v>0.5298013245033113</v>
      </c>
      <c r="I4" s="30">
        <f>Tabla13[[#This Row],[Nº Mujeres]]+Tabla13[[#This Row],[Nº Hombres]]</f>
        <v>8</v>
      </c>
    </row>
    <row r="5" spans="1:9" ht="26.25" x14ac:dyDescent="0.25">
      <c r="A5" s="11">
        <v>2018</v>
      </c>
      <c r="B5" s="11" t="s">
        <v>60</v>
      </c>
      <c r="C5" s="23" t="s">
        <v>27</v>
      </c>
      <c r="D5" s="24" t="s">
        <v>10</v>
      </c>
      <c r="E5" s="37">
        <v>32</v>
      </c>
      <c r="F5" s="29">
        <f>Tabla13[[#This Row],[Nº Mujeres]]*100/$E$2</f>
        <v>4.6511627906976747</v>
      </c>
      <c r="G5" s="7">
        <v>23</v>
      </c>
      <c r="H5" s="26">
        <f>Tabla13[[#This Row],[Nº Hombres]]*100/$G$2</f>
        <v>3.0463576158940397</v>
      </c>
      <c r="I5" s="30">
        <f>Tabla13[[#This Row],[Nº Mujeres]]+Tabla13[[#This Row],[Nº Hombres]]</f>
        <v>55</v>
      </c>
    </row>
    <row r="6" spans="1:9" ht="26.25" x14ac:dyDescent="0.25">
      <c r="A6" s="11">
        <v>2018</v>
      </c>
      <c r="B6" s="11" t="s">
        <v>60</v>
      </c>
      <c r="C6" s="23" t="s">
        <v>27</v>
      </c>
      <c r="D6" s="24" t="s">
        <v>11</v>
      </c>
      <c r="E6" s="37">
        <v>25</v>
      </c>
      <c r="F6" s="29">
        <f>Tabla13[[#This Row],[Nº Mujeres]]*100/$E$2</f>
        <v>3.6337209302325579</v>
      </c>
      <c r="G6" s="7">
        <v>46</v>
      </c>
      <c r="H6" s="26">
        <f>Tabla13[[#This Row],[Nº Hombres]]*100/$G$2</f>
        <v>6.0927152317880795</v>
      </c>
      <c r="I6" s="30">
        <f>Tabla13[[#This Row],[Nº Mujeres]]+Tabla13[[#This Row],[Nº Hombres]]</f>
        <v>71</v>
      </c>
    </row>
    <row r="7" spans="1:9" ht="26.25" x14ac:dyDescent="0.25">
      <c r="A7" s="11">
        <v>2018</v>
      </c>
      <c r="B7" s="11" t="s">
        <v>60</v>
      </c>
      <c r="C7" s="23" t="s">
        <v>27</v>
      </c>
      <c r="D7" s="24" t="s">
        <v>12</v>
      </c>
      <c r="E7" s="37">
        <v>35</v>
      </c>
      <c r="F7" s="29">
        <f>Tabla13[[#This Row],[Nº Mujeres]]*100/$E$2</f>
        <v>5.0872093023255811</v>
      </c>
      <c r="G7" s="7">
        <v>40</v>
      </c>
      <c r="H7" s="26">
        <f>Tabla13[[#This Row],[Nº Hombres]]*100/$G$2</f>
        <v>5.298013245033113</v>
      </c>
      <c r="I7" s="30">
        <f>Tabla13[[#This Row],[Nº Mujeres]]+Tabla13[[#This Row],[Nº Hombres]]</f>
        <v>75</v>
      </c>
    </row>
    <row r="8" spans="1:9" ht="26.25" x14ac:dyDescent="0.25">
      <c r="A8" s="11">
        <v>2018</v>
      </c>
      <c r="B8" s="11" t="s">
        <v>60</v>
      </c>
      <c r="C8" s="23" t="s">
        <v>27</v>
      </c>
      <c r="D8" s="24" t="s">
        <v>13</v>
      </c>
      <c r="E8" s="37">
        <v>47</v>
      </c>
      <c r="F8" s="29">
        <f>Tabla13[[#This Row],[Nº Mujeres]]*100/$E$2</f>
        <v>6.8313953488372094</v>
      </c>
      <c r="G8" s="7">
        <v>44</v>
      </c>
      <c r="H8" s="26">
        <f>Tabla13[[#This Row],[Nº Hombres]]*100/$G$2</f>
        <v>5.8278145695364234</v>
      </c>
      <c r="I8" s="30">
        <f>Tabla13[[#This Row],[Nº Mujeres]]+Tabla13[[#This Row],[Nº Hombres]]</f>
        <v>91</v>
      </c>
    </row>
    <row r="9" spans="1:9" ht="26.25" x14ac:dyDescent="0.25">
      <c r="A9" s="11">
        <v>2018</v>
      </c>
      <c r="B9" s="11" t="s">
        <v>60</v>
      </c>
      <c r="C9" s="23" t="s">
        <v>27</v>
      </c>
      <c r="D9" s="24" t="s">
        <v>14</v>
      </c>
      <c r="E9" s="37">
        <v>46</v>
      </c>
      <c r="F9" s="29">
        <f>Tabla13[[#This Row],[Nº Mujeres]]*100/$E$2</f>
        <v>6.6860465116279073</v>
      </c>
      <c r="G9" s="7">
        <v>53</v>
      </c>
      <c r="H9" s="26">
        <f>Tabla13[[#This Row],[Nº Hombres]]*100/$G$2</f>
        <v>7.0198675496688745</v>
      </c>
      <c r="I9" s="30">
        <f>Tabla13[[#This Row],[Nº Mujeres]]+Tabla13[[#This Row],[Nº Hombres]]</f>
        <v>99</v>
      </c>
    </row>
    <row r="10" spans="1:9" ht="26.25" x14ac:dyDescent="0.25">
      <c r="A10" s="11">
        <v>2018</v>
      </c>
      <c r="B10" s="11" t="s">
        <v>60</v>
      </c>
      <c r="C10" s="23" t="s">
        <v>27</v>
      </c>
      <c r="D10" s="24" t="s">
        <v>15</v>
      </c>
      <c r="E10" s="37">
        <v>74</v>
      </c>
      <c r="F10" s="29">
        <f>Tabla13[[#This Row],[Nº Mujeres]]*100/$E$2</f>
        <v>10.755813953488373</v>
      </c>
      <c r="G10" s="7">
        <v>80</v>
      </c>
      <c r="H10" s="26">
        <f>Tabla13[[#This Row],[Nº Hombres]]*100/$G$2</f>
        <v>10.596026490066226</v>
      </c>
      <c r="I10" s="30">
        <f>Tabla13[[#This Row],[Nº Mujeres]]+Tabla13[[#This Row],[Nº Hombres]]</f>
        <v>154</v>
      </c>
    </row>
    <row r="11" spans="1:9" ht="26.25" x14ac:dyDescent="0.25">
      <c r="A11" s="11">
        <v>2018</v>
      </c>
      <c r="B11" s="11" t="s">
        <v>60</v>
      </c>
      <c r="C11" s="23" t="s">
        <v>27</v>
      </c>
      <c r="D11" s="24" t="s">
        <v>16</v>
      </c>
      <c r="E11" s="37">
        <v>71</v>
      </c>
      <c r="F11" s="29">
        <f>Tabla13[[#This Row],[Nº Mujeres]]*100/$E$2</f>
        <v>10.319767441860465</v>
      </c>
      <c r="G11" s="7">
        <v>74</v>
      </c>
      <c r="H11" s="26">
        <f>Tabla13[[#This Row],[Nº Hombres]]*100/$G$2</f>
        <v>9.8013245033112586</v>
      </c>
      <c r="I11" s="30">
        <f>Tabla13[[#This Row],[Nº Mujeres]]+Tabla13[[#This Row],[Nº Hombres]]</f>
        <v>145</v>
      </c>
    </row>
    <row r="12" spans="1:9" ht="26.25" x14ac:dyDescent="0.25">
      <c r="A12" s="11">
        <v>2018</v>
      </c>
      <c r="B12" s="11" t="s">
        <v>60</v>
      </c>
      <c r="C12" s="23" t="s">
        <v>27</v>
      </c>
      <c r="D12" s="24" t="s">
        <v>17</v>
      </c>
      <c r="E12" s="37">
        <v>68</v>
      </c>
      <c r="F12" s="29">
        <f>Tabla13[[#This Row],[Nº Mujeres]]*100/$E$2</f>
        <v>9.8837209302325579</v>
      </c>
      <c r="G12" s="7">
        <v>61</v>
      </c>
      <c r="H12" s="26">
        <f>Tabla13[[#This Row],[Nº Hombres]]*100/$G$2</f>
        <v>8.0794701986754962</v>
      </c>
      <c r="I12" s="30">
        <f>Tabla13[[#This Row],[Nº Mujeres]]+Tabla13[[#This Row],[Nº Hombres]]</f>
        <v>129</v>
      </c>
    </row>
    <row r="13" spans="1:9" ht="26.25" x14ac:dyDescent="0.25">
      <c r="A13" s="11">
        <v>2018</v>
      </c>
      <c r="B13" s="11" t="s">
        <v>60</v>
      </c>
      <c r="C13" s="23" t="s">
        <v>27</v>
      </c>
      <c r="D13" s="24" t="s">
        <v>18</v>
      </c>
      <c r="E13" s="37">
        <v>62</v>
      </c>
      <c r="F13" s="29">
        <f>Tabla13[[#This Row],[Nº Mujeres]]*100/$E$2</f>
        <v>9.0116279069767433</v>
      </c>
      <c r="G13" s="7">
        <v>81</v>
      </c>
      <c r="H13" s="26">
        <f>Tabla13[[#This Row],[Nº Hombres]]*100/$G$2</f>
        <v>10.728476821192054</v>
      </c>
      <c r="I13" s="30">
        <f>Tabla13[[#This Row],[Nº Mujeres]]+Tabla13[[#This Row],[Nº Hombres]]</f>
        <v>143</v>
      </c>
    </row>
    <row r="14" spans="1:9" ht="26.25" x14ac:dyDescent="0.25">
      <c r="A14" s="11">
        <v>2018</v>
      </c>
      <c r="B14" s="11" t="s">
        <v>60</v>
      </c>
      <c r="C14" s="23" t="s">
        <v>27</v>
      </c>
      <c r="D14" s="24" t="s">
        <v>19</v>
      </c>
      <c r="E14" s="37">
        <v>78</v>
      </c>
      <c r="F14" s="29">
        <f>Tabla13[[#This Row],[Nº Mujeres]]*100/$E$2</f>
        <v>11.337209302325581</v>
      </c>
      <c r="G14" s="7">
        <v>72</v>
      </c>
      <c r="H14" s="26">
        <f>Tabla13[[#This Row],[Nº Hombres]]*100/$G$2</f>
        <v>9.5364238410596034</v>
      </c>
      <c r="I14" s="30">
        <f>Tabla13[[#This Row],[Nº Mujeres]]+Tabla13[[#This Row],[Nº Hombres]]</f>
        <v>150</v>
      </c>
    </row>
    <row r="15" spans="1:9" ht="26.25" x14ac:dyDescent="0.25">
      <c r="A15" s="11">
        <v>2018</v>
      </c>
      <c r="B15" s="11" t="s">
        <v>60</v>
      </c>
      <c r="C15" s="23" t="s">
        <v>27</v>
      </c>
      <c r="D15" s="24" t="s">
        <v>20</v>
      </c>
      <c r="E15" s="37">
        <v>48</v>
      </c>
      <c r="F15" s="29">
        <f>Tabla13[[#This Row],[Nº Mujeres]]*100/$E$2</f>
        <v>6.9767441860465116</v>
      </c>
      <c r="G15" s="7">
        <v>69</v>
      </c>
      <c r="H15" s="26">
        <f>Tabla13[[#This Row],[Nº Hombres]]*100/$G$2</f>
        <v>9.1390728476821188</v>
      </c>
      <c r="I15" s="30">
        <f>Tabla13[[#This Row],[Nº Mujeres]]+Tabla13[[#This Row],[Nº Hombres]]</f>
        <v>117</v>
      </c>
    </row>
    <row r="16" spans="1:9" ht="26.25" x14ac:dyDescent="0.25">
      <c r="A16" s="11">
        <v>2018</v>
      </c>
      <c r="B16" s="11" t="s">
        <v>60</v>
      </c>
      <c r="C16" s="23" t="s">
        <v>27</v>
      </c>
      <c r="D16" s="24" t="s">
        <v>21</v>
      </c>
      <c r="E16" s="37">
        <v>39</v>
      </c>
      <c r="F16" s="29">
        <f>Tabla13[[#This Row],[Nº Mujeres]]*100/$E$2</f>
        <v>5.6686046511627906</v>
      </c>
      <c r="G16" s="7">
        <v>45</v>
      </c>
      <c r="H16" s="26">
        <f>Tabla13[[#This Row],[Nº Hombres]]*100/$G$2</f>
        <v>5.9602649006622519</v>
      </c>
      <c r="I16" s="30">
        <f>Tabla13[[#This Row],[Nº Mujeres]]+Tabla13[[#This Row],[Nº Hombres]]</f>
        <v>84</v>
      </c>
    </row>
    <row r="17" spans="1:9" ht="26.25" x14ac:dyDescent="0.25">
      <c r="A17" s="11">
        <v>2018</v>
      </c>
      <c r="B17" s="11" t="s">
        <v>60</v>
      </c>
      <c r="C17" s="23" t="s">
        <v>27</v>
      </c>
      <c r="D17" s="24" t="s">
        <v>22</v>
      </c>
      <c r="E17" s="37">
        <v>59</v>
      </c>
      <c r="F17" s="29">
        <f>Tabla13[[#This Row],[Nº Mujeres]]*100/$E$2</f>
        <v>8.5755813953488378</v>
      </c>
      <c r="G17" s="7">
        <v>63</v>
      </c>
      <c r="H17" s="26">
        <f>Tabla13[[#This Row],[Nº Hombres]]*100/$G$2</f>
        <v>8.3443708609271532</v>
      </c>
      <c r="I17" s="30">
        <f>Tabla13[[#This Row],[Nº Mujeres]]+Tabla13[[#This Row],[Nº Hombres]]</f>
        <v>122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zoomScaleNormal="100" workbookViewId="0">
      <selection activeCell="H20" sqref="H20"/>
    </sheetView>
  </sheetViews>
  <sheetFormatPr baseColWidth="10" defaultRowHeight="12.75" x14ac:dyDescent="0.2"/>
  <cols>
    <col min="1" max="1" width="11.42578125" style="22"/>
    <col min="2" max="2" width="27.5703125" style="22" customWidth="1"/>
    <col min="3" max="3" width="11.42578125" style="22"/>
    <col min="4" max="4" width="19.5703125" style="22" customWidth="1"/>
    <col min="5" max="6" width="11.42578125" style="22"/>
    <col min="7" max="7" width="13.42578125" style="22" customWidth="1"/>
    <col min="8" max="8" width="15.7109375" style="22" customWidth="1"/>
    <col min="9" max="16384" width="11.42578125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ht="26.25" x14ac:dyDescent="0.25">
      <c r="A2" s="11">
        <v>2018</v>
      </c>
      <c r="B2" s="11" t="s">
        <v>60</v>
      </c>
      <c r="C2" s="23" t="s">
        <v>35</v>
      </c>
      <c r="D2" s="24" t="s">
        <v>42</v>
      </c>
      <c r="E2" s="37">
        <v>1028</v>
      </c>
      <c r="F2" s="41">
        <f>Tabla134567891011[[#This Row],[Nº Mujeres]]*100/Tabla134567891011[[#This Row],[Total]]</f>
        <v>47.048054919908466</v>
      </c>
      <c r="G2" s="37">
        <v>1157</v>
      </c>
      <c r="H2" s="20">
        <f>Tabla134567891011[[#This Row],[Nº Hombres]]*100/Tabla134567891011[[#This Row],[Total]]</f>
        <v>52.951945080091534</v>
      </c>
      <c r="I2" s="37">
        <v>2185</v>
      </c>
    </row>
    <row r="3" spans="1:9" ht="25.5" x14ac:dyDescent="0.2">
      <c r="A3" s="11">
        <v>2018</v>
      </c>
      <c r="B3" s="11" t="s">
        <v>60</v>
      </c>
      <c r="C3" s="23" t="s">
        <v>35</v>
      </c>
      <c r="D3" s="27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</row>
    <row r="4" spans="1:9" ht="26.25" x14ac:dyDescent="0.25">
      <c r="A4" s="11">
        <v>2018</v>
      </c>
      <c r="B4" s="11" t="s">
        <v>60</v>
      </c>
      <c r="C4" s="23" t="s">
        <v>35</v>
      </c>
      <c r="D4" s="24" t="s">
        <v>9</v>
      </c>
      <c r="E4" s="37">
        <v>7</v>
      </c>
      <c r="F4" s="43">
        <f>Tabla134567891011[[#This Row],[Nº Mujeres]]*100/$E$2</f>
        <v>0.68093385214007784</v>
      </c>
      <c r="G4" s="37">
        <v>7</v>
      </c>
      <c r="H4" s="20">
        <f>Tabla134567891011[[#This Row],[Nº Hombres]]*100/$G$2</f>
        <v>0.60501296456352638</v>
      </c>
      <c r="I4" s="44">
        <f>Tabla134567891011[[#This Row],[Nº Mujeres]]+Tabla134567891011[[#This Row],[Nº Hombres]]</f>
        <v>14</v>
      </c>
    </row>
    <row r="5" spans="1:9" ht="26.25" x14ac:dyDescent="0.25">
      <c r="A5" s="11">
        <v>2018</v>
      </c>
      <c r="B5" s="11" t="s">
        <v>60</v>
      </c>
      <c r="C5" s="23" t="s">
        <v>35</v>
      </c>
      <c r="D5" s="24" t="s">
        <v>10</v>
      </c>
      <c r="E5" s="37">
        <v>72</v>
      </c>
      <c r="F5" s="43">
        <f>Tabla134567891011[[#This Row],[Nº Mujeres]]*100/$E$2</f>
        <v>7.0038910505836576</v>
      </c>
      <c r="G5" s="37">
        <v>76</v>
      </c>
      <c r="H5" s="20">
        <f>Tabla134567891011[[#This Row],[Nº Hombres]]*100/$G$2</f>
        <v>6.5687121866897149</v>
      </c>
      <c r="I5" s="44">
        <f>Tabla134567891011[[#This Row],[Nº Mujeres]]+Tabla134567891011[[#This Row],[Nº Hombres]]</f>
        <v>148</v>
      </c>
    </row>
    <row r="6" spans="1:9" ht="26.25" x14ac:dyDescent="0.25">
      <c r="A6" s="11">
        <v>2018</v>
      </c>
      <c r="B6" s="11" t="s">
        <v>60</v>
      </c>
      <c r="C6" s="23" t="s">
        <v>35</v>
      </c>
      <c r="D6" s="24" t="s">
        <v>11</v>
      </c>
      <c r="E6" s="37">
        <v>94</v>
      </c>
      <c r="F6" s="43">
        <f>Tabla134567891011[[#This Row],[Nº Mujeres]]*100/$E$2</f>
        <v>9.1439688715953302</v>
      </c>
      <c r="G6" s="37">
        <v>95</v>
      </c>
      <c r="H6" s="20">
        <f>Tabla134567891011[[#This Row],[Nº Hombres]]*100/$G$2</f>
        <v>8.210890233362143</v>
      </c>
      <c r="I6" s="44">
        <f>Tabla134567891011[[#This Row],[Nº Mujeres]]+Tabla134567891011[[#This Row],[Nº Hombres]]</f>
        <v>189</v>
      </c>
    </row>
    <row r="7" spans="1:9" ht="26.25" x14ac:dyDescent="0.25">
      <c r="A7" s="11">
        <v>2018</v>
      </c>
      <c r="B7" s="11" t="s">
        <v>60</v>
      </c>
      <c r="C7" s="23" t="s">
        <v>35</v>
      </c>
      <c r="D7" s="24" t="s">
        <v>12</v>
      </c>
      <c r="E7" s="37">
        <v>71</v>
      </c>
      <c r="F7" s="43">
        <f>Tabla134567891011[[#This Row],[Nº Mujeres]]*100/$E$2</f>
        <v>6.9066147859922182</v>
      </c>
      <c r="G7" s="37">
        <v>75</v>
      </c>
      <c r="H7" s="20">
        <f>Tabla134567891011[[#This Row],[Nº Hombres]]*100/$G$2</f>
        <v>6.48228176318064</v>
      </c>
      <c r="I7" s="44">
        <f>Tabla134567891011[[#This Row],[Nº Mujeres]]+Tabla134567891011[[#This Row],[Nº Hombres]]</f>
        <v>146</v>
      </c>
    </row>
    <row r="8" spans="1:9" ht="26.25" x14ac:dyDescent="0.25">
      <c r="A8" s="11">
        <v>2018</v>
      </c>
      <c r="B8" s="11" t="s">
        <v>60</v>
      </c>
      <c r="C8" s="23" t="s">
        <v>35</v>
      </c>
      <c r="D8" s="24" t="s">
        <v>13</v>
      </c>
      <c r="E8" s="37">
        <v>71</v>
      </c>
      <c r="F8" s="43">
        <f>Tabla134567891011[[#This Row],[Nº Mujeres]]*100/$E$2</f>
        <v>6.9066147859922182</v>
      </c>
      <c r="G8" s="37">
        <v>77</v>
      </c>
      <c r="H8" s="20">
        <f>Tabla134567891011[[#This Row],[Nº Hombres]]*100/$G$2</f>
        <v>6.6551426101987898</v>
      </c>
      <c r="I8" s="44">
        <f>Tabla134567891011[[#This Row],[Nº Mujeres]]+Tabla134567891011[[#This Row],[Nº Hombres]]</f>
        <v>148</v>
      </c>
    </row>
    <row r="9" spans="1:9" ht="26.25" x14ac:dyDescent="0.25">
      <c r="A9" s="11">
        <v>2018</v>
      </c>
      <c r="B9" s="11" t="s">
        <v>60</v>
      </c>
      <c r="C9" s="23" t="s">
        <v>35</v>
      </c>
      <c r="D9" s="24" t="s">
        <v>14</v>
      </c>
      <c r="E9" s="37">
        <v>77</v>
      </c>
      <c r="F9" s="43">
        <f>Tabla134567891011[[#This Row],[Nº Mujeres]]*100/$E$2</f>
        <v>7.4902723735408561</v>
      </c>
      <c r="G9" s="37">
        <v>82</v>
      </c>
      <c r="H9" s="20">
        <f>Tabla134567891011[[#This Row],[Nº Hombres]]*100/$G$2</f>
        <v>7.0872947277441662</v>
      </c>
      <c r="I9" s="44">
        <f>Tabla134567891011[[#This Row],[Nº Mujeres]]+Tabla134567891011[[#This Row],[Nº Hombres]]</f>
        <v>159</v>
      </c>
    </row>
    <row r="10" spans="1:9" ht="26.25" x14ac:dyDescent="0.25">
      <c r="A10" s="11">
        <v>2018</v>
      </c>
      <c r="B10" s="11" t="s">
        <v>60</v>
      </c>
      <c r="C10" s="23" t="s">
        <v>35</v>
      </c>
      <c r="D10" s="24" t="s">
        <v>15</v>
      </c>
      <c r="E10" s="37">
        <v>103</v>
      </c>
      <c r="F10" s="43">
        <f>Tabla134567891011[[#This Row],[Nº Mujeres]]*100/$E$2</f>
        <v>10.019455252918288</v>
      </c>
      <c r="G10" s="37">
        <v>102</v>
      </c>
      <c r="H10" s="20">
        <f>Tabla134567891011[[#This Row],[Nº Hombres]]*100/$G$2</f>
        <v>8.8159031979256692</v>
      </c>
      <c r="I10" s="44">
        <f>Tabla134567891011[[#This Row],[Nº Mujeres]]+Tabla134567891011[[#This Row],[Nº Hombres]]</f>
        <v>205</v>
      </c>
    </row>
    <row r="11" spans="1:9" ht="26.25" x14ac:dyDescent="0.25">
      <c r="A11" s="11">
        <v>2018</v>
      </c>
      <c r="B11" s="11" t="s">
        <v>60</v>
      </c>
      <c r="C11" s="23" t="s">
        <v>35</v>
      </c>
      <c r="D11" s="24" t="s">
        <v>16</v>
      </c>
      <c r="E11" s="37">
        <v>112</v>
      </c>
      <c r="F11" s="43">
        <f>Tabla134567891011[[#This Row],[Nº Mujeres]]*100/$E$2</f>
        <v>10.894941634241246</v>
      </c>
      <c r="G11" s="37">
        <v>111</v>
      </c>
      <c r="H11" s="20">
        <f>Tabla134567891011[[#This Row],[Nº Hombres]]*100/$G$2</f>
        <v>9.5937770095073471</v>
      </c>
      <c r="I11" s="44">
        <f>Tabla134567891011[[#This Row],[Nº Mujeres]]+Tabla134567891011[[#This Row],[Nº Hombres]]</f>
        <v>223</v>
      </c>
    </row>
    <row r="12" spans="1:9" ht="26.25" x14ac:dyDescent="0.25">
      <c r="A12" s="11">
        <v>2018</v>
      </c>
      <c r="B12" s="11" t="s">
        <v>60</v>
      </c>
      <c r="C12" s="23" t="s">
        <v>35</v>
      </c>
      <c r="D12" s="24" t="s">
        <v>17</v>
      </c>
      <c r="E12" s="37">
        <v>111</v>
      </c>
      <c r="F12" s="43">
        <f>Tabla134567891011[[#This Row],[Nº Mujeres]]*100/$E$2</f>
        <v>10.797665369649806</v>
      </c>
      <c r="G12" s="37">
        <v>126</v>
      </c>
      <c r="H12" s="20">
        <f>Tabla134567891011[[#This Row],[Nº Hombres]]*100/$G$2</f>
        <v>10.890233362143475</v>
      </c>
      <c r="I12" s="44">
        <f>Tabla134567891011[[#This Row],[Nº Mujeres]]+Tabla134567891011[[#This Row],[Nº Hombres]]</f>
        <v>237</v>
      </c>
    </row>
    <row r="13" spans="1:9" ht="26.25" x14ac:dyDescent="0.25">
      <c r="A13" s="11">
        <v>2018</v>
      </c>
      <c r="B13" s="11" t="s">
        <v>60</v>
      </c>
      <c r="C13" s="23" t="s">
        <v>35</v>
      </c>
      <c r="D13" s="24" t="s">
        <v>18</v>
      </c>
      <c r="E13" s="37">
        <v>85</v>
      </c>
      <c r="F13" s="43">
        <f>Tabla134567891011[[#This Row],[Nº Mujeres]]*100/$E$2</f>
        <v>8.2684824902723744</v>
      </c>
      <c r="G13" s="37">
        <v>100</v>
      </c>
      <c r="H13" s="20">
        <f>Tabla134567891011[[#This Row],[Nº Hombres]]*100/$G$2</f>
        <v>8.6430423509075194</v>
      </c>
      <c r="I13" s="44">
        <f>Tabla134567891011[[#This Row],[Nº Mujeres]]+Tabla134567891011[[#This Row],[Nº Hombres]]</f>
        <v>185</v>
      </c>
    </row>
    <row r="14" spans="1:9" ht="26.25" x14ac:dyDescent="0.25">
      <c r="A14" s="11">
        <v>2018</v>
      </c>
      <c r="B14" s="11" t="s">
        <v>60</v>
      </c>
      <c r="C14" s="23" t="s">
        <v>35</v>
      </c>
      <c r="D14" s="24" t="s">
        <v>19</v>
      </c>
      <c r="E14" s="37">
        <v>66</v>
      </c>
      <c r="F14" s="43">
        <f>Tabla134567891011[[#This Row],[Nº Mujeres]]*100/$E$2</f>
        <v>6.4202334630350197</v>
      </c>
      <c r="G14" s="37">
        <v>104</v>
      </c>
      <c r="H14" s="20">
        <f>Tabla134567891011[[#This Row],[Nº Hombres]]*100/$G$2</f>
        <v>8.9887640449438209</v>
      </c>
      <c r="I14" s="44">
        <f>Tabla134567891011[[#This Row],[Nº Mujeres]]+Tabla134567891011[[#This Row],[Nº Hombres]]</f>
        <v>170</v>
      </c>
    </row>
    <row r="15" spans="1:9" ht="26.25" x14ac:dyDescent="0.25">
      <c r="A15" s="11">
        <v>2018</v>
      </c>
      <c r="B15" s="11" t="s">
        <v>60</v>
      </c>
      <c r="C15" s="23" t="s">
        <v>35</v>
      </c>
      <c r="D15" s="24" t="s">
        <v>20</v>
      </c>
      <c r="E15" s="37">
        <v>65</v>
      </c>
      <c r="F15" s="43">
        <f>Tabla134567891011[[#This Row],[Nº Mujeres]]*100/$E$2</f>
        <v>6.3229571984435795</v>
      </c>
      <c r="G15" s="37">
        <v>81</v>
      </c>
      <c r="H15" s="20">
        <f>Tabla134567891011[[#This Row],[Nº Hombres]]*100/$G$2</f>
        <v>7.0008643042350904</v>
      </c>
      <c r="I15" s="44">
        <f>Tabla134567891011[[#This Row],[Nº Mujeres]]+Tabla134567891011[[#This Row],[Nº Hombres]]</f>
        <v>146</v>
      </c>
    </row>
    <row r="16" spans="1:9" ht="26.25" x14ac:dyDescent="0.25">
      <c r="A16" s="11">
        <v>2018</v>
      </c>
      <c r="B16" s="11" t="s">
        <v>60</v>
      </c>
      <c r="C16" s="23" t="s">
        <v>35</v>
      </c>
      <c r="D16" s="24" t="s">
        <v>21</v>
      </c>
      <c r="E16" s="37">
        <v>42</v>
      </c>
      <c r="F16" s="43">
        <f>Tabla134567891011[[#This Row],[Nº Mujeres]]*100/$E$2</f>
        <v>4.0856031128404666</v>
      </c>
      <c r="G16" s="37">
        <v>60</v>
      </c>
      <c r="H16" s="20">
        <f>Tabla134567891011[[#This Row],[Nº Hombres]]*100/$G$2</f>
        <v>5.1858254105445116</v>
      </c>
      <c r="I16" s="44">
        <f>Tabla134567891011[[#This Row],[Nº Mujeres]]+Tabla134567891011[[#This Row],[Nº Hombres]]</f>
        <v>102</v>
      </c>
    </row>
    <row r="17" spans="1:9" ht="26.25" x14ac:dyDescent="0.25">
      <c r="A17" s="11">
        <v>2018</v>
      </c>
      <c r="B17" s="11" t="s">
        <v>60</v>
      </c>
      <c r="C17" s="23" t="s">
        <v>35</v>
      </c>
      <c r="D17" s="24" t="s">
        <v>22</v>
      </c>
      <c r="E17" s="37">
        <v>52</v>
      </c>
      <c r="F17" s="43">
        <f>Tabla134567891011[[#This Row],[Nº Mujeres]]*100/$E$2</f>
        <v>5.0583657587548636</v>
      </c>
      <c r="G17" s="37">
        <v>61</v>
      </c>
      <c r="H17" s="20">
        <f>Tabla134567891011[[#This Row],[Nº Hombres]]*100/$G$2</f>
        <v>5.2722558340535866</v>
      </c>
      <c r="I17" s="44">
        <f>Tabla134567891011[[#This Row],[Nº Mujeres]]+Tabla134567891011[[#This Row],[Nº Hombres]]</f>
        <v>113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workbookViewId="0">
      <selection activeCell="L5" sqref="L5"/>
    </sheetView>
  </sheetViews>
  <sheetFormatPr baseColWidth="10" defaultRowHeight="12.75" x14ac:dyDescent="0.2"/>
  <cols>
    <col min="1" max="1" width="11.42578125" style="22"/>
    <col min="2" max="2" width="19.5703125" style="22" customWidth="1"/>
    <col min="3" max="3" width="20.5703125" style="22" customWidth="1"/>
    <col min="4" max="4" width="19.42578125" style="22" customWidth="1"/>
    <col min="5" max="8" width="11.42578125" style="22"/>
    <col min="9" max="9" width="14.140625" style="22" customWidth="1"/>
    <col min="10" max="16384" width="11.42578125" style="22"/>
  </cols>
  <sheetData>
    <row r="1" spans="1:9" x14ac:dyDescent="0.2">
      <c r="A1" s="38" t="s">
        <v>0</v>
      </c>
      <c r="B1" s="38" t="s">
        <v>1</v>
      </c>
      <c r="C1" s="38" t="s">
        <v>23</v>
      </c>
      <c r="D1" s="38" t="s">
        <v>24</v>
      </c>
      <c r="E1" s="38" t="s">
        <v>2</v>
      </c>
      <c r="F1" s="39" t="s">
        <v>3</v>
      </c>
      <c r="G1" s="38" t="s">
        <v>4</v>
      </c>
      <c r="H1" s="38" t="s">
        <v>5</v>
      </c>
      <c r="I1" s="38" t="s">
        <v>6</v>
      </c>
    </row>
    <row r="2" spans="1:9" ht="26.25" x14ac:dyDescent="0.25">
      <c r="A2" s="11">
        <v>2018</v>
      </c>
      <c r="B2" s="11" t="s">
        <v>60</v>
      </c>
      <c r="C2" s="40" t="s">
        <v>28</v>
      </c>
      <c r="D2" s="11" t="s">
        <v>42</v>
      </c>
      <c r="E2" s="37">
        <v>1585</v>
      </c>
      <c r="F2" s="41">
        <f>Tabla134[[#This Row],[Nº Mujeres]]*100/Tabla134[[#This Row],[Total]]</f>
        <v>46.576550102850426</v>
      </c>
      <c r="G2" s="37">
        <v>1818</v>
      </c>
      <c r="H2" s="20">
        <f>Tabla134[[#This Row],[Nº Hombres]]*100/3495</f>
        <v>52.017167381974247</v>
      </c>
      <c r="I2" s="37">
        <v>3403</v>
      </c>
    </row>
    <row r="3" spans="1:9" ht="25.5" x14ac:dyDescent="0.2">
      <c r="A3" s="11">
        <v>2018</v>
      </c>
      <c r="B3" s="11" t="s">
        <v>60</v>
      </c>
      <c r="C3" s="40" t="s">
        <v>28</v>
      </c>
      <c r="D3" s="42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</row>
    <row r="4" spans="1:9" ht="26.25" x14ac:dyDescent="0.25">
      <c r="A4" s="11">
        <v>2018</v>
      </c>
      <c r="B4" s="11" t="s">
        <v>60</v>
      </c>
      <c r="C4" s="40" t="s">
        <v>28</v>
      </c>
      <c r="D4" s="11" t="s">
        <v>9</v>
      </c>
      <c r="E4" s="37"/>
      <c r="F4" s="43">
        <f>Tabla134[[#This Row],[Nº Mujeres]]*100/$E$2</f>
        <v>0</v>
      </c>
      <c r="G4" s="37">
        <v>4</v>
      </c>
      <c r="H4" s="20">
        <f>Tabla134[[#This Row],[Nº Hombres]]*100/$G$2</f>
        <v>0.22002200220022003</v>
      </c>
      <c r="I4" s="44">
        <f>Tabla134[[#This Row],[Nº Mujeres]]+Tabla134[[#This Row],[Nº Hombres]]</f>
        <v>4</v>
      </c>
    </row>
    <row r="5" spans="1:9" ht="26.25" x14ac:dyDescent="0.25">
      <c r="A5" s="11">
        <v>2018</v>
      </c>
      <c r="B5" s="11" t="s">
        <v>60</v>
      </c>
      <c r="C5" s="40" t="s">
        <v>28</v>
      </c>
      <c r="D5" s="11" t="s">
        <v>10</v>
      </c>
      <c r="E5" s="37">
        <v>28</v>
      </c>
      <c r="F5" s="43">
        <f>Tabla134[[#This Row],[Nº Mujeres]]*100/$E$2</f>
        <v>1.7665615141955835</v>
      </c>
      <c r="G5" s="37">
        <v>31</v>
      </c>
      <c r="H5" s="20">
        <f>Tabla134[[#This Row],[Nº Hombres]]*100/$G$2</f>
        <v>1.7051705170517051</v>
      </c>
      <c r="I5" s="44">
        <f>Tabla134[[#This Row],[Nº Mujeres]]+Tabla134[[#This Row],[Nº Hombres]]</f>
        <v>59</v>
      </c>
    </row>
    <row r="6" spans="1:9" ht="26.25" x14ac:dyDescent="0.25">
      <c r="A6" s="11">
        <v>2018</v>
      </c>
      <c r="B6" s="11" t="s">
        <v>60</v>
      </c>
      <c r="C6" s="40" t="s">
        <v>28</v>
      </c>
      <c r="D6" s="11" t="s">
        <v>11</v>
      </c>
      <c r="E6" s="37">
        <v>29</v>
      </c>
      <c r="F6" s="43">
        <f>Tabla134[[#This Row],[Nº Mujeres]]*100/$E$2</f>
        <v>1.8296529968454258</v>
      </c>
      <c r="G6" s="37">
        <v>27</v>
      </c>
      <c r="H6" s="20">
        <f>Tabla134[[#This Row],[Nº Hombres]]*100/$G$2</f>
        <v>1.4851485148514851</v>
      </c>
      <c r="I6" s="44">
        <f>Tabla134[[#This Row],[Nº Mujeres]]+Tabla134[[#This Row],[Nº Hombres]]</f>
        <v>56</v>
      </c>
    </row>
    <row r="7" spans="1:9" ht="26.25" x14ac:dyDescent="0.25">
      <c r="A7" s="11">
        <v>2018</v>
      </c>
      <c r="B7" s="11" t="s">
        <v>60</v>
      </c>
      <c r="C7" s="40" t="s">
        <v>28</v>
      </c>
      <c r="D7" s="11" t="s">
        <v>12</v>
      </c>
      <c r="E7" s="37">
        <v>25</v>
      </c>
      <c r="F7" s="43">
        <f>Tabla134[[#This Row],[Nº Mujeres]]*100/$E$2</f>
        <v>1.5772870662460567</v>
      </c>
      <c r="G7" s="37">
        <v>26</v>
      </c>
      <c r="H7" s="20">
        <f>Tabla134[[#This Row],[Nº Hombres]]*100/$G$2</f>
        <v>1.4301430143014302</v>
      </c>
      <c r="I7" s="44">
        <f>Tabla134[[#This Row],[Nº Mujeres]]+Tabla134[[#This Row],[Nº Hombres]]</f>
        <v>51</v>
      </c>
    </row>
    <row r="8" spans="1:9" ht="26.25" x14ac:dyDescent="0.25">
      <c r="A8" s="11">
        <v>2018</v>
      </c>
      <c r="B8" s="11" t="s">
        <v>60</v>
      </c>
      <c r="C8" s="40" t="s">
        <v>28</v>
      </c>
      <c r="D8" s="11" t="s">
        <v>13</v>
      </c>
      <c r="E8" s="37">
        <v>43</v>
      </c>
      <c r="F8" s="43">
        <f>Tabla134[[#This Row],[Nº Mujeres]]*100/$E$2</f>
        <v>2.7129337539432177</v>
      </c>
      <c r="G8" s="37">
        <v>59</v>
      </c>
      <c r="H8" s="20">
        <f>Tabla134[[#This Row],[Nº Hombres]]*100/$G$2</f>
        <v>3.2453245324532451</v>
      </c>
      <c r="I8" s="44">
        <f>Tabla134[[#This Row],[Nº Mujeres]]+Tabla134[[#This Row],[Nº Hombres]]</f>
        <v>102</v>
      </c>
    </row>
    <row r="9" spans="1:9" ht="26.25" x14ac:dyDescent="0.25">
      <c r="A9" s="11">
        <v>2018</v>
      </c>
      <c r="B9" s="11" t="s">
        <v>60</v>
      </c>
      <c r="C9" s="40" t="s">
        <v>28</v>
      </c>
      <c r="D9" s="11" t="s">
        <v>14</v>
      </c>
      <c r="E9" s="37">
        <v>100</v>
      </c>
      <c r="F9" s="43">
        <f>Tabla134[[#This Row],[Nº Mujeres]]*100/$E$2</f>
        <v>6.309148264984227</v>
      </c>
      <c r="G9" s="37">
        <v>115</v>
      </c>
      <c r="H9" s="20">
        <f>Tabla134[[#This Row],[Nº Hombres]]*100/$G$2</f>
        <v>6.3256325632563257</v>
      </c>
      <c r="I9" s="44">
        <f>Tabla134[[#This Row],[Nº Mujeres]]+Tabla134[[#This Row],[Nº Hombres]]</f>
        <v>215</v>
      </c>
    </row>
    <row r="10" spans="1:9" ht="26.25" x14ac:dyDescent="0.25">
      <c r="A10" s="11">
        <v>2018</v>
      </c>
      <c r="B10" s="11" t="s">
        <v>60</v>
      </c>
      <c r="C10" s="40" t="s">
        <v>28</v>
      </c>
      <c r="D10" s="11" t="s">
        <v>15</v>
      </c>
      <c r="E10" s="37">
        <v>194</v>
      </c>
      <c r="F10" s="43">
        <f>Tabla134[[#This Row],[Nº Mujeres]]*100/$E$2</f>
        <v>12.239747634069401</v>
      </c>
      <c r="G10" s="37">
        <v>220</v>
      </c>
      <c r="H10" s="20">
        <f>Tabla134[[#This Row],[Nº Hombres]]*100/$G$2</f>
        <v>12.101210121012102</v>
      </c>
      <c r="I10" s="44">
        <f>Tabla134[[#This Row],[Nº Mujeres]]+Tabla134[[#This Row],[Nº Hombres]]</f>
        <v>414</v>
      </c>
    </row>
    <row r="11" spans="1:9" ht="26.25" x14ac:dyDescent="0.25">
      <c r="A11" s="11">
        <v>2018</v>
      </c>
      <c r="B11" s="11" t="s">
        <v>60</v>
      </c>
      <c r="C11" s="40" t="s">
        <v>28</v>
      </c>
      <c r="D11" s="11" t="s">
        <v>16</v>
      </c>
      <c r="E11" s="37">
        <v>203</v>
      </c>
      <c r="F11" s="43">
        <f>Tabla134[[#This Row],[Nº Mujeres]]*100/$E$2</f>
        <v>12.807570977917981</v>
      </c>
      <c r="G11" s="37">
        <v>238</v>
      </c>
      <c r="H11" s="20">
        <f>Tabla134[[#This Row],[Nº Hombres]]*100/$G$2</f>
        <v>13.091309130913091</v>
      </c>
      <c r="I11" s="44">
        <f>Tabla134[[#This Row],[Nº Mujeres]]+Tabla134[[#This Row],[Nº Hombres]]</f>
        <v>441</v>
      </c>
    </row>
    <row r="12" spans="1:9" ht="26.25" x14ac:dyDescent="0.25">
      <c r="A12" s="11">
        <v>2018</v>
      </c>
      <c r="B12" s="11" t="s">
        <v>60</v>
      </c>
      <c r="C12" s="40" t="s">
        <v>28</v>
      </c>
      <c r="D12" s="11" t="s">
        <v>17</v>
      </c>
      <c r="E12" s="37">
        <v>210</v>
      </c>
      <c r="F12" s="43">
        <f>Tabla134[[#This Row],[Nº Mujeres]]*100/$E$2</f>
        <v>13.249211356466876</v>
      </c>
      <c r="G12" s="37">
        <v>266</v>
      </c>
      <c r="H12" s="20">
        <f>Tabla134[[#This Row],[Nº Hombres]]*100/$G$2</f>
        <v>14.631463146314632</v>
      </c>
      <c r="I12" s="44">
        <f>Tabla134[[#This Row],[Nº Mujeres]]+Tabla134[[#This Row],[Nº Hombres]]</f>
        <v>476</v>
      </c>
    </row>
    <row r="13" spans="1:9" ht="26.25" x14ac:dyDescent="0.25">
      <c r="A13" s="11">
        <v>2018</v>
      </c>
      <c r="B13" s="11" t="s">
        <v>60</v>
      </c>
      <c r="C13" s="40" t="s">
        <v>28</v>
      </c>
      <c r="D13" s="11" t="s">
        <v>18</v>
      </c>
      <c r="E13" s="37">
        <v>217</v>
      </c>
      <c r="F13" s="43">
        <f>Tabla134[[#This Row],[Nº Mujeres]]*100/$E$2</f>
        <v>13.690851735015773</v>
      </c>
      <c r="G13" s="37">
        <v>246</v>
      </c>
      <c r="H13" s="20">
        <f>Tabla134[[#This Row],[Nº Hombres]]*100/$G$2</f>
        <v>13.531353135313532</v>
      </c>
      <c r="I13" s="44">
        <f>Tabla134[[#This Row],[Nº Mujeres]]+Tabla134[[#This Row],[Nº Hombres]]</f>
        <v>463</v>
      </c>
    </row>
    <row r="14" spans="1:9" ht="26.25" x14ac:dyDescent="0.25">
      <c r="A14" s="11">
        <v>2018</v>
      </c>
      <c r="B14" s="11" t="s">
        <v>60</v>
      </c>
      <c r="C14" s="40" t="s">
        <v>28</v>
      </c>
      <c r="D14" s="11" t="s">
        <v>19</v>
      </c>
      <c r="E14" s="37">
        <v>157</v>
      </c>
      <c r="F14" s="43">
        <f>Tabla134[[#This Row],[Nº Mujeres]]*100/$E$2</f>
        <v>9.9053627760252372</v>
      </c>
      <c r="G14" s="37">
        <v>205</v>
      </c>
      <c r="H14" s="20">
        <f>Tabla134[[#This Row],[Nº Hombres]]*100/$G$2</f>
        <v>11.276127612761275</v>
      </c>
      <c r="I14" s="44">
        <f>Tabla134[[#This Row],[Nº Mujeres]]+Tabla134[[#This Row],[Nº Hombres]]</f>
        <v>362</v>
      </c>
    </row>
    <row r="15" spans="1:9" ht="26.25" x14ac:dyDescent="0.25">
      <c r="A15" s="11">
        <v>2018</v>
      </c>
      <c r="B15" s="11" t="s">
        <v>60</v>
      </c>
      <c r="C15" s="40" t="s">
        <v>28</v>
      </c>
      <c r="D15" s="11" t="s">
        <v>20</v>
      </c>
      <c r="E15" s="37">
        <v>160</v>
      </c>
      <c r="F15" s="43">
        <f>Tabla134[[#This Row],[Nº Mujeres]]*100/$E$2</f>
        <v>10.094637223974763</v>
      </c>
      <c r="G15" s="37">
        <v>161</v>
      </c>
      <c r="H15" s="20">
        <f>Tabla134[[#This Row],[Nº Hombres]]*100/$G$2</f>
        <v>8.8558855885588557</v>
      </c>
      <c r="I15" s="44">
        <f>Tabla134[[#This Row],[Nº Mujeres]]+Tabla134[[#This Row],[Nº Hombres]]</f>
        <v>321</v>
      </c>
    </row>
    <row r="16" spans="1:9" ht="26.25" x14ac:dyDescent="0.25">
      <c r="A16" s="11">
        <v>2018</v>
      </c>
      <c r="B16" s="11" t="s">
        <v>60</v>
      </c>
      <c r="C16" s="40" t="s">
        <v>28</v>
      </c>
      <c r="D16" s="11" t="s">
        <v>21</v>
      </c>
      <c r="E16" s="37">
        <v>102</v>
      </c>
      <c r="F16" s="43">
        <f>Tabla134[[#This Row],[Nº Mujeres]]*100/$E$2</f>
        <v>6.4353312302839116</v>
      </c>
      <c r="G16" s="37">
        <v>119</v>
      </c>
      <c r="H16" s="20">
        <f>Tabla134[[#This Row],[Nº Hombres]]*100/$G$2</f>
        <v>6.5456545654565454</v>
      </c>
      <c r="I16" s="44">
        <f>Tabla134[[#This Row],[Nº Mujeres]]+Tabla134[[#This Row],[Nº Hombres]]</f>
        <v>221</v>
      </c>
    </row>
    <row r="17" spans="1:9" ht="26.25" x14ac:dyDescent="0.25">
      <c r="A17" s="11">
        <v>2018</v>
      </c>
      <c r="B17" s="11" t="s">
        <v>60</v>
      </c>
      <c r="C17" s="40" t="s">
        <v>28</v>
      </c>
      <c r="D17" s="11" t="s">
        <v>22</v>
      </c>
      <c r="E17" s="37">
        <v>117</v>
      </c>
      <c r="F17" s="43">
        <f>Tabla134[[#This Row],[Nº Mujeres]]*100/$E$2</f>
        <v>7.381703470031546</v>
      </c>
      <c r="G17" s="37">
        <v>101</v>
      </c>
      <c r="H17" s="20">
        <f>Tabla134[[#This Row],[Nº Hombres]]*100/$G$2</f>
        <v>5.5555555555555554</v>
      </c>
      <c r="I17" s="44">
        <f>Tabla134[[#This Row],[Nº Mujeres]]+Tabla134[[#This Row],[Nº Hombres]]</f>
        <v>218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"/>
  <sheetViews>
    <sheetView workbookViewId="0">
      <selection activeCell="C8" sqref="C8"/>
    </sheetView>
  </sheetViews>
  <sheetFormatPr baseColWidth="10" defaultColWidth="15.28515625" defaultRowHeight="12.75" x14ac:dyDescent="0.2"/>
  <cols>
    <col min="1" max="1" width="8.42578125" style="22" customWidth="1"/>
    <col min="2" max="3" width="20" style="22" customWidth="1"/>
    <col min="4" max="16384" width="15.28515625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ht="26.25" x14ac:dyDescent="0.25">
      <c r="A2" s="11">
        <v>2018</v>
      </c>
      <c r="B2" s="11" t="s">
        <v>60</v>
      </c>
      <c r="C2" s="23" t="s">
        <v>29</v>
      </c>
      <c r="D2" s="24" t="s">
        <v>42</v>
      </c>
      <c r="E2" s="37">
        <v>887</v>
      </c>
      <c r="F2" s="25">
        <f>Tabla1345[[#This Row],[Nº Mujeres]]*100/Tabla1345[[#This Row],[Total]]</f>
        <v>46.030098598858331</v>
      </c>
      <c r="G2" s="3">
        <v>1040</v>
      </c>
      <c r="H2" s="26">
        <f>Tabla1345[[#This Row],[Nº Hombres]]*100/3495</f>
        <v>29.756795422031473</v>
      </c>
      <c r="I2" s="3">
        <v>1927</v>
      </c>
    </row>
    <row r="3" spans="1:9" ht="25.5" x14ac:dyDescent="0.2">
      <c r="A3" s="11">
        <v>2018</v>
      </c>
      <c r="B3" s="11" t="s">
        <v>60</v>
      </c>
      <c r="C3" s="23" t="s">
        <v>29</v>
      </c>
      <c r="D3" s="27" t="s">
        <v>8</v>
      </c>
      <c r="E3" s="35" t="s">
        <v>26</v>
      </c>
      <c r="F3" s="28" t="s">
        <v>26</v>
      </c>
      <c r="G3" s="35" t="s">
        <v>26</v>
      </c>
      <c r="H3" s="28" t="s">
        <v>26</v>
      </c>
      <c r="I3" s="28" t="s">
        <v>26</v>
      </c>
    </row>
    <row r="4" spans="1:9" ht="26.25" x14ac:dyDescent="0.25">
      <c r="A4" s="11">
        <v>2018</v>
      </c>
      <c r="B4" s="11" t="s">
        <v>60</v>
      </c>
      <c r="C4" s="23" t="s">
        <v>29</v>
      </c>
      <c r="D4" s="24" t="s">
        <v>9</v>
      </c>
      <c r="E4" s="37">
        <v>2</v>
      </c>
      <c r="F4" s="29">
        <f>Tabla1345[[#This Row],[Nº Mujeres]]*100/$E$2</f>
        <v>0.22547914317925591</v>
      </c>
      <c r="G4" s="37"/>
      <c r="H4" s="26">
        <f>Tabla1345[[#This Row],[Nº Hombres]]*100/$G$2</f>
        <v>0</v>
      </c>
      <c r="I4" s="30">
        <f>Tabla1345[[#This Row],[Nº Mujeres]]+Tabla1345[[#This Row],[Nº Hombres]]</f>
        <v>2</v>
      </c>
    </row>
    <row r="5" spans="1:9" ht="26.25" x14ac:dyDescent="0.25">
      <c r="A5" s="11">
        <v>2018</v>
      </c>
      <c r="B5" s="11" t="s">
        <v>60</v>
      </c>
      <c r="C5" s="23" t="s">
        <v>29</v>
      </c>
      <c r="D5" s="24" t="s">
        <v>10</v>
      </c>
      <c r="E5" s="37">
        <v>13</v>
      </c>
      <c r="F5" s="29">
        <f>Tabla1345[[#This Row],[Nº Mujeres]]*100/$E$2</f>
        <v>1.4656144306651635</v>
      </c>
      <c r="G5" s="37">
        <v>12</v>
      </c>
      <c r="H5" s="26">
        <f>Tabla1345[[#This Row],[Nº Hombres]]*100/$G$2</f>
        <v>1.1538461538461537</v>
      </c>
      <c r="I5" s="30">
        <f>Tabla1345[[#This Row],[Nº Mujeres]]+Tabla1345[[#This Row],[Nº Hombres]]</f>
        <v>25</v>
      </c>
    </row>
    <row r="6" spans="1:9" ht="26.25" x14ac:dyDescent="0.25">
      <c r="A6" s="11">
        <v>2018</v>
      </c>
      <c r="B6" s="11" t="s">
        <v>60</v>
      </c>
      <c r="C6" s="23" t="s">
        <v>29</v>
      </c>
      <c r="D6" s="24" t="s">
        <v>11</v>
      </c>
      <c r="E6" s="37">
        <v>15</v>
      </c>
      <c r="F6" s="29">
        <f>Tabla1345[[#This Row],[Nº Mujeres]]*100/$E$2</f>
        <v>1.6910935738444195</v>
      </c>
      <c r="G6" s="37">
        <v>24</v>
      </c>
      <c r="H6" s="26">
        <f>Tabla1345[[#This Row],[Nº Hombres]]*100/$G$2</f>
        <v>2.3076923076923075</v>
      </c>
      <c r="I6" s="30">
        <f>Tabla1345[[#This Row],[Nº Mujeres]]+Tabla1345[[#This Row],[Nº Hombres]]</f>
        <v>39</v>
      </c>
    </row>
    <row r="7" spans="1:9" ht="26.25" x14ac:dyDescent="0.25">
      <c r="A7" s="11">
        <v>2018</v>
      </c>
      <c r="B7" s="11" t="s">
        <v>60</v>
      </c>
      <c r="C7" s="23" t="s">
        <v>29</v>
      </c>
      <c r="D7" s="24" t="s">
        <v>12</v>
      </c>
      <c r="E7" s="37">
        <v>24</v>
      </c>
      <c r="F7" s="29">
        <f>Tabla1345[[#This Row],[Nº Mujeres]]*100/$E$2</f>
        <v>2.705749718151071</v>
      </c>
      <c r="G7" s="37">
        <v>15</v>
      </c>
      <c r="H7" s="26">
        <f>Tabla1345[[#This Row],[Nº Hombres]]*100/$G$2</f>
        <v>1.4423076923076923</v>
      </c>
      <c r="I7" s="30">
        <f>Tabla1345[[#This Row],[Nº Mujeres]]+Tabla1345[[#This Row],[Nº Hombres]]</f>
        <v>39</v>
      </c>
    </row>
    <row r="8" spans="1:9" ht="26.25" x14ac:dyDescent="0.25">
      <c r="A8" s="11">
        <v>2018</v>
      </c>
      <c r="B8" s="11" t="s">
        <v>60</v>
      </c>
      <c r="C8" s="23" t="s">
        <v>29</v>
      </c>
      <c r="D8" s="24" t="s">
        <v>13</v>
      </c>
      <c r="E8" s="37">
        <v>32</v>
      </c>
      <c r="F8" s="29">
        <f>Tabla1345[[#This Row],[Nº Mujeres]]*100/$E$2</f>
        <v>3.6076662908680945</v>
      </c>
      <c r="G8" s="37">
        <v>24</v>
      </c>
      <c r="H8" s="26">
        <f>Tabla1345[[#This Row],[Nº Hombres]]*100/$G$2</f>
        <v>2.3076923076923075</v>
      </c>
      <c r="I8" s="30">
        <f>Tabla1345[[#This Row],[Nº Mujeres]]+Tabla1345[[#This Row],[Nº Hombres]]</f>
        <v>56</v>
      </c>
    </row>
    <row r="9" spans="1:9" ht="26.25" x14ac:dyDescent="0.25">
      <c r="A9" s="11">
        <v>2018</v>
      </c>
      <c r="B9" s="11" t="s">
        <v>60</v>
      </c>
      <c r="C9" s="23" t="s">
        <v>29</v>
      </c>
      <c r="D9" s="24" t="s">
        <v>14</v>
      </c>
      <c r="E9" s="37">
        <v>58</v>
      </c>
      <c r="F9" s="29">
        <f>Tabla1345[[#This Row],[Nº Mujeres]]*100/$E$2</f>
        <v>6.538895152198422</v>
      </c>
      <c r="G9" s="37">
        <v>38</v>
      </c>
      <c r="H9" s="26">
        <f>Tabla1345[[#This Row],[Nº Hombres]]*100/$G$2</f>
        <v>3.6538461538461537</v>
      </c>
      <c r="I9" s="30">
        <f>Tabla1345[[#This Row],[Nº Mujeres]]+Tabla1345[[#This Row],[Nº Hombres]]</f>
        <v>96</v>
      </c>
    </row>
    <row r="10" spans="1:9" ht="26.25" x14ac:dyDescent="0.25">
      <c r="A10" s="11">
        <v>2018</v>
      </c>
      <c r="B10" s="11" t="s">
        <v>60</v>
      </c>
      <c r="C10" s="23" t="s">
        <v>29</v>
      </c>
      <c r="D10" s="24" t="s">
        <v>15</v>
      </c>
      <c r="E10" s="37">
        <v>93</v>
      </c>
      <c r="F10" s="29">
        <f>Tabla1345[[#This Row],[Nº Mujeres]]*100/$E$2</f>
        <v>10.484780157835401</v>
      </c>
      <c r="G10" s="37">
        <v>113</v>
      </c>
      <c r="H10" s="26">
        <f>Tabla1345[[#This Row],[Nº Hombres]]*100/$G$2</f>
        <v>10.865384615384615</v>
      </c>
      <c r="I10" s="30">
        <f>Tabla1345[[#This Row],[Nº Mujeres]]+Tabla1345[[#This Row],[Nº Hombres]]</f>
        <v>206</v>
      </c>
    </row>
    <row r="11" spans="1:9" ht="26.25" x14ac:dyDescent="0.25">
      <c r="A11" s="11">
        <v>2018</v>
      </c>
      <c r="B11" s="11" t="s">
        <v>60</v>
      </c>
      <c r="C11" s="23" t="s">
        <v>29</v>
      </c>
      <c r="D11" s="24" t="s">
        <v>16</v>
      </c>
      <c r="E11" s="37">
        <v>110</v>
      </c>
      <c r="F11" s="29">
        <f>Tabla1345[[#This Row],[Nº Mujeres]]*100/$E$2</f>
        <v>12.401352874859075</v>
      </c>
      <c r="G11" s="37">
        <v>152</v>
      </c>
      <c r="H11" s="26">
        <f>Tabla1345[[#This Row],[Nº Hombres]]*100/$G$2</f>
        <v>14.615384615384615</v>
      </c>
      <c r="I11" s="30">
        <f>Tabla1345[[#This Row],[Nº Mujeres]]+Tabla1345[[#This Row],[Nº Hombres]]</f>
        <v>262</v>
      </c>
    </row>
    <row r="12" spans="1:9" ht="26.25" x14ac:dyDescent="0.25">
      <c r="A12" s="11">
        <v>2018</v>
      </c>
      <c r="B12" s="11" t="s">
        <v>60</v>
      </c>
      <c r="C12" s="23" t="s">
        <v>29</v>
      </c>
      <c r="D12" s="24" t="s">
        <v>17</v>
      </c>
      <c r="E12" s="37">
        <v>142</v>
      </c>
      <c r="F12" s="29">
        <f>Tabla1345[[#This Row],[Nº Mujeres]]*100/$E$2</f>
        <v>16.009019165727171</v>
      </c>
      <c r="G12" s="37">
        <v>146</v>
      </c>
      <c r="H12" s="26">
        <f>Tabla1345[[#This Row],[Nº Hombres]]*100/$G$2</f>
        <v>14.038461538461538</v>
      </c>
      <c r="I12" s="30">
        <f>Tabla1345[[#This Row],[Nº Mujeres]]+Tabla1345[[#This Row],[Nº Hombres]]</f>
        <v>288</v>
      </c>
    </row>
    <row r="13" spans="1:9" ht="26.25" x14ac:dyDescent="0.25">
      <c r="A13" s="11">
        <v>2018</v>
      </c>
      <c r="B13" s="11" t="s">
        <v>60</v>
      </c>
      <c r="C13" s="23" t="s">
        <v>29</v>
      </c>
      <c r="D13" s="24" t="s">
        <v>18</v>
      </c>
      <c r="E13" s="37">
        <v>99</v>
      </c>
      <c r="F13" s="29">
        <f>Tabla1345[[#This Row],[Nº Mujeres]]*100/$E$2</f>
        <v>11.161217587373168</v>
      </c>
      <c r="G13" s="37">
        <v>145</v>
      </c>
      <c r="H13" s="26">
        <f>Tabla1345[[#This Row],[Nº Hombres]]*100/$G$2</f>
        <v>13.942307692307692</v>
      </c>
      <c r="I13" s="30">
        <f>Tabla1345[[#This Row],[Nº Mujeres]]+Tabla1345[[#This Row],[Nº Hombres]]</f>
        <v>244</v>
      </c>
    </row>
    <row r="14" spans="1:9" ht="26.25" x14ac:dyDescent="0.25">
      <c r="A14" s="11">
        <v>2018</v>
      </c>
      <c r="B14" s="11" t="s">
        <v>60</v>
      </c>
      <c r="C14" s="23" t="s">
        <v>29</v>
      </c>
      <c r="D14" s="24" t="s">
        <v>19</v>
      </c>
      <c r="E14" s="37">
        <v>89</v>
      </c>
      <c r="F14" s="29">
        <f>Tabla1345[[#This Row],[Nº Mujeres]]*100/$E$2</f>
        <v>10.033821871476889</v>
      </c>
      <c r="G14" s="37">
        <v>132</v>
      </c>
      <c r="H14" s="26">
        <f>Tabla1345[[#This Row],[Nº Hombres]]*100/$G$2</f>
        <v>12.692307692307692</v>
      </c>
      <c r="I14" s="30">
        <f>Tabla1345[[#This Row],[Nº Mujeres]]+Tabla1345[[#This Row],[Nº Hombres]]</f>
        <v>221</v>
      </c>
    </row>
    <row r="15" spans="1:9" ht="26.25" x14ac:dyDescent="0.25">
      <c r="A15" s="11">
        <v>2018</v>
      </c>
      <c r="B15" s="11" t="s">
        <v>60</v>
      </c>
      <c r="C15" s="23" t="s">
        <v>29</v>
      </c>
      <c r="D15" s="24" t="s">
        <v>20</v>
      </c>
      <c r="E15" s="37">
        <v>67</v>
      </c>
      <c r="F15" s="29">
        <f>Tabla1345[[#This Row],[Nº Mujeres]]*100/$E$2</f>
        <v>7.5535512965050735</v>
      </c>
      <c r="G15" s="37">
        <v>99</v>
      </c>
      <c r="H15" s="26">
        <f>Tabla1345[[#This Row],[Nº Hombres]]*100/$G$2</f>
        <v>9.5192307692307701</v>
      </c>
      <c r="I15" s="30">
        <f>Tabla1345[[#This Row],[Nº Mujeres]]+Tabla1345[[#This Row],[Nº Hombres]]</f>
        <v>166</v>
      </c>
    </row>
    <row r="16" spans="1:9" ht="26.25" x14ac:dyDescent="0.25">
      <c r="A16" s="11">
        <v>2018</v>
      </c>
      <c r="B16" s="11" t="s">
        <v>60</v>
      </c>
      <c r="C16" s="23" t="s">
        <v>29</v>
      </c>
      <c r="D16" s="24" t="s">
        <v>21</v>
      </c>
      <c r="E16" s="37">
        <v>58</v>
      </c>
      <c r="F16" s="29">
        <f>Tabla1345[[#This Row],[Nº Mujeres]]*100/$E$2</f>
        <v>6.538895152198422</v>
      </c>
      <c r="G16" s="37">
        <v>63</v>
      </c>
      <c r="H16" s="26">
        <f>Tabla1345[[#This Row],[Nº Hombres]]*100/$G$2</f>
        <v>6.0576923076923075</v>
      </c>
      <c r="I16" s="30">
        <f>Tabla1345[[#This Row],[Nº Mujeres]]+Tabla1345[[#This Row],[Nº Hombres]]</f>
        <v>121</v>
      </c>
    </row>
    <row r="17" spans="1:9" ht="26.25" x14ac:dyDescent="0.25">
      <c r="A17" s="11">
        <v>2018</v>
      </c>
      <c r="B17" s="11" t="s">
        <v>60</v>
      </c>
      <c r="C17" s="23" t="s">
        <v>29</v>
      </c>
      <c r="D17" s="24" t="s">
        <v>22</v>
      </c>
      <c r="E17" s="37">
        <v>85</v>
      </c>
      <c r="F17" s="29">
        <f>Tabla1345[[#This Row],[Nº Mujeres]]*100/$E$2</f>
        <v>9.5828635851183765</v>
      </c>
      <c r="G17" s="37">
        <v>77</v>
      </c>
      <c r="H17" s="26">
        <f>Tabla1345[[#This Row],[Nº Hombres]]*100/$G$2</f>
        <v>7.4038461538461542</v>
      </c>
      <c r="I17" s="30">
        <f>Tabla1345[[#This Row],[Nº Mujeres]]+Tabla1345[[#This Row],[Nº Hombres]]</f>
        <v>162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7"/>
  <sheetViews>
    <sheetView workbookViewId="0">
      <selection activeCell="E17" sqref="E17"/>
    </sheetView>
  </sheetViews>
  <sheetFormatPr baseColWidth="10" defaultColWidth="17.42578125" defaultRowHeight="12.75" x14ac:dyDescent="0.2"/>
  <cols>
    <col min="1" max="16384" width="17.42578125" style="22"/>
  </cols>
  <sheetData>
    <row r="1" spans="1:12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12" ht="26.25" x14ac:dyDescent="0.25">
      <c r="A2" s="11">
        <v>2018</v>
      </c>
      <c r="B2" s="11" t="s">
        <v>60</v>
      </c>
      <c r="C2" s="40" t="s">
        <v>30</v>
      </c>
      <c r="D2" s="11" t="s">
        <v>42</v>
      </c>
      <c r="E2" s="37">
        <v>2132</v>
      </c>
      <c r="F2" s="41">
        <f>Tabla13456[[#This Row],[Nº Mujeres]]*100/Tabla13456[[#This Row],[Total]]</f>
        <v>46.448801742919393</v>
      </c>
      <c r="G2" s="37">
        <v>2458</v>
      </c>
      <c r="H2" s="20">
        <f>Tabla13456[[#This Row],[Nº Hombres]]*100/4641</f>
        <v>52.962723550958842</v>
      </c>
      <c r="I2" s="37">
        <v>4590</v>
      </c>
      <c r="L2" s="25"/>
    </row>
    <row r="3" spans="1:12" ht="25.5" x14ac:dyDescent="0.2">
      <c r="A3" s="11">
        <v>2018</v>
      </c>
      <c r="B3" s="11" t="s">
        <v>60</v>
      </c>
      <c r="C3" s="40" t="s">
        <v>30</v>
      </c>
      <c r="D3" s="42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  <c r="L3" s="26"/>
    </row>
    <row r="4" spans="1:12" ht="26.25" x14ac:dyDescent="0.25">
      <c r="A4" s="11">
        <v>2018</v>
      </c>
      <c r="B4" s="11" t="s">
        <v>60</v>
      </c>
      <c r="C4" s="40" t="s">
        <v>30</v>
      </c>
      <c r="D4" s="11" t="s">
        <v>9</v>
      </c>
      <c r="E4" s="37">
        <v>1</v>
      </c>
      <c r="F4" s="43">
        <f>Tabla13456[[#This Row],[Nº Mujeres]]*100/$E$2</f>
        <v>4.6904315196998121E-2</v>
      </c>
      <c r="G4" s="37">
        <v>4</v>
      </c>
      <c r="H4" s="20">
        <f>Tabla13456[[#This Row],[Nº Hombres]]*100/$G$2</f>
        <v>0.16273393002441008</v>
      </c>
      <c r="I4" s="44">
        <f>Tabla13456[[#This Row],[Nº Mujeres]]+Tabla13456[[#This Row],[Nº Hombres]]</f>
        <v>5</v>
      </c>
      <c r="L4" s="36"/>
    </row>
    <row r="5" spans="1:12" ht="26.25" x14ac:dyDescent="0.25">
      <c r="A5" s="11">
        <v>2018</v>
      </c>
      <c r="B5" s="11" t="s">
        <v>60</v>
      </c>
      <c r="C5" s="40" t="s">
        <v>30</v>
      </c>
      <c r="D5" s="11" t="s">
        <v>10</v>
      </c>
      <c r="E5" s="37">
        <v>42</v>
      </c>
      <c r="F5" s="43">
        <f>Tabla13456[[#This Row],[Nº Mujeres]]*100/$E$2</f>
        <v>1.9699812382739212</v>
      </c>
      <c r="G5" s="37">
        <v>70</v>
      </c>
      <c r="H5" s="20">
        <f>Tabla13456[[#This Row],[Nº Hombres]]*100/$G$2</f>
        <v>2.8478437754271764</v>
      </c>
      <c r="I5" s="44">
        <f>Tabla13456[[#This Row],[Nº Mujeres]]+Tabla13456[[#This Row],[Nº Hombres]]</f>
        <v>112</v>
      </c>
    </row>
    <row r="6" spans="1:12" ht="26.25" x14ac:dyDescent="0.25">
      <c r="A6" s="11">
        <v>2018</v>
      </c>
      <c r="B6" s="11" t="s">
        <v>60</v>
      </c>
      <c r="C6" s="40" t="s">
        <v>30</v>
      </c>
      <c r="D6" s="11" t="s">
        <v>11</v>
      </c>
      <c r="E6" s="37">
        <v>76</v>
      </c>
      <c r="F6" s="43">
        <f>Tabla13456[[#This Row],[Nº Mujeres]]*100/$E$2</f>
        <v>3.5647279549718576</v>
      </c>
      <c r="G6" s="37">
        <v>97</v>
      </c>
      <c r="H6" s="20">
        <f>Tabla13456[[#This Row],[Nº Hombres]]*100/$G$2</f>
        <v>3.9462978030919449</v>
      </c>
      <c r="I6" s="44">
        <f>Tabla13456[[#This Row],[Nº Mujeres]]+Tabla13456[[#This Row],[Nº Hombres]]</f>
        <v>173</v>
      </c>
    </row>
    <row r="7" spans="1:12" ht="26.25" x14ac:dyDescent="0.25">
      <c r="A7" s="11">
        <v>2018</v>
      </c>
      <c r="B7" s="11" t="s">
        <v>60</v>
      </c>
      <c r="C7" s="40" t="s">
        <v>30</v>
      </c>
      <c r="D7" s="11" t="s">
        <v>12</v>
      </c>
      <c r="E7" s="37">
        <v>81</v>
      </c>
      <c r="F7" s="43">
        <f>Tabla13456[[#This Row],[Nº Mujeres]]*100/$E$2</f>
        <v>3.7992495309568479</v>
      </c>
      <c r="G7" s="37">
        <v>100</v>
      </c>
      <c r="H7" s="20">
        <f>Tabla13456[[#This Row],[Nº Hombres]]*100/$G$2</f>
        <v>4.068348250610252</v>
      </c>
      <c r="I7" s="44">
        <f>Tabla13456[[#This Row],[Nº Mujeres]]+Tabla13456[[#This Row],[Nº Hombres]]</f>
        <v>181</v>
      </c>
    </row>
    <row r="8" spans="1:12" ht="26.25" x14ac:dyDescent="0.25">
      <c r="A8" s="11">
        <v>2018</v>
      </c>
      <c r="B8" s="11" t="s">
        <v>60</v>
      </c>
      <c r="C8" s="40" t="s">
        <v>30</v>
      </c>
      <c r="D8" s="11" t="s">
        <v>13</v>
      </c>
      <c r="E8" s="37">
        <v>97</v>
      </c>
      <c r="F8" s="43">
        <f>Tabla13456[[#This Row],[Nº Mujeres]]*100/$E$2</f>
        <v>4.5497185741088177</v>
      </c>
      <c r="G8" s="37">
        <v>101</v>
      </c>
      <c r="H8" s="20">
        <f>Tabla13456[[#This Row],[Nº Hombres]]*100/$G$2</f>
        <v>4.1090317331163551</v>
      </c>
      <c r="I8" s="44">
        <f>Tabla13456[[#This Row],[Nº Mujeres]]+Tabla13456[[#This Row],[Nº Hombres]]</f>
        <v>198</v>
      </c>
    </row>
    <row r="9" spans="1:12" ht="26.25" x14ac:dyDescent="0.25">
      <c r="A9" s="11">
        <v>2018</v>
      </c>
      <c r="B9" s="11" t="s">
        <v>60</v>
      </c>
      <c r="C9" s="40" t="s">
        <v>30</v>
      </c>
      <c r="D9" s="11" t="s">
        <v>14</v>
      </c>
      <c r="E9" s="37">
        <v>104</v>
      </c>
      <c r="F9" s="43">
        <f>Tabla13456[[#This Row],[Nº Mujeres]]*100/$E$2</f>
        <v>4.8780487804878048</v>
      </c>
      <c r="G9" s="37">
        <v>114</v>
      </c>
      <c r="H9" s="20">
        <f>Tabla13456[[#This Row],[Nº Hombres]]*100/$G$2</f>
        <v>4.6379170056956873</v>
      </c>
      <c r="I9" s="44">
        <f>Tabla13456[[#This Row],[Nº Mujeres]]+Tabla13456[[#This Row],[Nº Hombres]]</f>
        <v>218</v>
      </c>
    </row>
    <row r="10" spans="1:12" ht="26.25" x14ac:dyDescent="0.25">
      <c r="A10" s="11">
        <v>2018</v>
      </c>
      <c r="B10" s="11" t="s">
        <v>60</v>
      </c>
      <c r="C10" s="40" t="s">
        <v>30</v>
      </c>
      <c r="D10" s="11" t="s">
        <v>15</v>
      </c>
      <c r="E10" s="37">
        <v>198</v>
      </c>
      <c r="F10" s="43">
        <f>Tabla13456[[#This Row],[Nº Mujeres]]*100/$E$2</f>
        <v>9.2870544090056288</v>
      </c>
      <c r="G10" s="37">
        <v>191</v>
      </c>
      <c r="H10" s="20">
        <f>Tabla13456[[#This Row],[Nº Hombres]]*100/$G$2</f>
        <v>7.7705451586655814</v>
      </c>
      <c r="I10" s="44">
        <f>Tabla13456[[#This Row],[Nº Mujeres]]+Tabla13456[[#This Row],[Nº Hombres]]</f>
        <v>389</v>
      </c>
    </row>
    <row r="11" spans="1:12" ht="26.25" x14ac:dyDescent="0.25">
      <c r="A11" s="11">
        <v>2018</v>
      </c>
      <c r="B11" s="11" t="s">
        <v>60</v>
      </c>
      <c r="C11" s="40" t="s">
        <v>30</v>
      </c>
      <c r="D11" s="11" t="s">
        <v>16</v>
      </c>
      <c r="E11" s="37">
        <v>263</v>
      </c>
      <c r="F11" s="43">
        <f>Tabla13456[[#This Row],[Nº Mujeres]]*100/$E$2</f>
        <v>12.335834896810507</v>
      </c>
      <c r="G11" s="37">
        <v>291</v>
      </c>
      <c r="H11" s="20">
        <f>Tabla13456[[#This Row],[Nº Hombres]]*100/$G$2</f>
        <v>11.838893409275833</v>
      </c>
      <c r="I11" s="44">
        <f>Tabla13456[[#This Row],[Nº Mujeres]]+Tabla13456[[#This Row],[Nº Hombres]]</f>
        <v>554</v>
      </c>
    </row>
    <row r="12" spans="1:12" ht="26.25" x14ac:dyDescent="0.25">
      <c r="A12" s="11">
        <v>2018</v>
      </c>
      <c r="B12" s="11" t="s">
        <v>60</v>
      </c>
      <c r="C12" s="40" t="s">
        <v>30</v>
      </c>
      <c r="D12" s="11" t="s">
        <v>17</v>
      </c>
      <c r="E12" s="37">
        <v>251</v>
      </c>
      <c r="F12" s="43">
        <f>Tabla13456[[#This Row],[Nº Mujeres]]*100/$E$2</f>
        <v>11.772983114446529</v>
      </c>
      <c r="G12" s="37">
        <v>310</v>
      </c>
      <c r="H12" s="20">
        <f>Tabla13456[[#This Row],[Nº Hombres]]*100/$G$2</f>
        <v>12.611879576891782</v>
      </c>
      <c r="I12" s="44">
        <f>Tabla13456[[#This Row],[Nº Mujeres]]+Tabla13456[[#This Row],[Nº Hombres]]</f>
        <v>561</v>
      </c>
    </row>
    <row r="13" spans="1:12" ht="26.25" x14ac:dyDescent="0.25">
      <c r="A13" s="11">
        <v>2018</v>
      </c>
      <c r="B13" s="11" t="s">
        <v>60</v>
      </c>
      <c r="C13" s="40" t="s">
        <v>30</v>
      </c>
      <c r="D13" s="11" t="s">
        <v>18</v>
      </c>
      <c r="E13" s="37">
        <v>252</v>
      </c>
      <c r="F13" s="43">
        <f>Tabla13456[[#This Row],[Nº Mujeres]]*100/$E$2</f>
        <v>11.819887429643527</v>
      </c>
      <c r="G13" s="37">
        <v>302</v>
      </c>
      <c r="H13" s="20">
        <f>Tabla13456[[#This Row],[Nº Hombres]]*100/$G$2</f>
        <v>12.286411716842961</v>
      </c>
      <c r="I13" s="44">
        <f>Tabla13456[[#This Row],[Nº Mujeres]]+Tabla13456[[#This Row],[Nº Hombres]]</f>
        <v>554</v>
      </c>
    </row>
    <row r="14" spans="1:12" ht="26.25" x14ac:dyDescent="0.25">
      <c r="A14" s="11">
        <v>2018</v>
      </c>
      <c r="B14" s="11" t="s">
        <v>60</v>
      </c>
      <c r="C14" s="40" t="s">
        <v>30</v>
      </c>
      <c r="D14" s="11" t="s">
        <v>19</v>
      </c>
      <c r="E14" s="37">
        <v>208</v>
      </c>
      <c r="F14" s="43">
        <f>Tabla13456[[#This Row],[Nº Mujeres]]*100/$E$2</f>
        <v>9.7560975609756095</v>
      </c>
      <c r="G14" s="37">
        <v>250</v>
      </c>
      <c r="H14" s="20">
        <f>Tabla13456[[#This Row],[Nº Hombres]]*100/$G$2</f>
        <v>10.17087062652563</v>
      </c>
      <c r="I14" s="44">
        <f>Tabla13456[[#This Row],[Nº Mujeres]]+Tabla13456[[#This Row],[Nº Hombres]]</f>
        <v>458</v>
      </c>
    </row>
    <row r="15" spans="1:12" ht="26.25" x14ac:dyDescent="0.25">
      <c r="A15" s="11">
        <v>2018</v>
      </c>
      <c r="B15" s="11" t="s">
        <v>60</v>
      </c>
      <c r="C15" s="40" t="s">
        <v>30</v>
      </c>
      <c r="D15" s="11" t="s">
        <v>20</v>
      </c>
      <c r="E15" s="37">
        <v>187</v>
      </c>
      <c r="F15" s="43">
        <f>Tabla13456[[#This Row],[Nº Mujeres]]*100/$E$2</f>
        <v>8.7711069418386494</v>
      </c>
      <c r="G15" s="37">
        <v>223</v>
      </c>
      <c r="H15" s="20">
        <f>Tabla13456[[#This Row],[Nº Hombres]]*100/$G$2</f>
        <v>9.0724165988608618</v>
      </c>
      <c r="I15" s="44">
        <f>Tabla13456[[#This Row],[Nº Mujeres]]+Tabla13456[[#This Row],[Nº Hombres]]</f>
        <v>410</v>
      </c>
    </row>
    <row r="16" spans="1:12" ht="26.25" x14ac:dyDescent="0.25">
      <c r="A16" s="11">
        <v>2018</v>
      </c>
      <c r="B16" s="11" t="s">
        <v>60</v>
      </c>
      <c r="C16" s="40" t="s">
        <v>30</v>
      </c>
      <c r="D16" s="11" t="s">
        <v>21</v>
      </c>
      <c r="E16" s="37">
        <v>140</v>
      </c>
      <c r="F16" s="43">
        <f>Tabla13456[[#This Row],[Nº Mujeres]]*100/$E$2</f>
        <v>6.5666041275797378</v>
      </c>
      <c r="G16" s="37">
        <v>180</v>
      </c>
      <c r="H16" s="20">
        <f>Tabla13456[[#This Row],[Nº Hombres]]*100/$G$2</f>
        <v>7.3230268510984544</v>
      </c>
      <c r="I16" s="44">
        <f>Tabla13456[[#This Row],[Nº Mujeres]]+Tabla13456[[#This Row],[Nº Hombres]]</f>
        <v>320</v>
      </c>
      <c r="L16" s="36"/>
    </row>
    <row r="17" spans="1:9" ht="26.25" x14ac:dyDescent="0.25">
      <c r="A17" s="11">
        <v>2018</v>
      </c>
      <c r="B17" s="11" t="s">
        <v>60</v>
      </c>
      <c r="C17" s="40" t="s">
        <v>30</v>
      </c>
      <c r="D17" s="11" t="s">
        <v>22</v>
      </c>
      <c r="E17" s="37">
        <v>232</v>
      </c>
      <c r="F17" s="43">
        <f>Tabla13456[[#This Row],[Nº Mujeres]]*100/$E$2</f>
        <v>10.881801125703564</v>
      </c>
      <c r="G17" s="37">
        <v>225</v>
      </c>
      <c r="H17" s="20">
        <f>Tabla13456[[#This Row],[Nº Hombres]]*100/$G$2</f>
        <v>9.153783563873068</v>
      </c>
      <c r="I17" s="44">
        <f>Tabla13456[[#This Row],[Nº Mujeres]]+Tabla13456[[#This Row],[Nº Hombres]]</f>
        <v>457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topLeftCell="B1" workbookViewId="0">
      <selection activeCell="H21" sqref="H21"/>
    </sheetView>
  </sheetViews>
  <sheetFormatPr baseColWidth="10" defaultColWidth="18" defaultRowHeight="12.75" x14ac:dyDescent="0.2"/>
  <cols>
    <col min="1" max="3" width="18" style="22"/>
    <col min="4" max="4" width="25.85546875" style="22" customWidth="1"/>
    <col min="5" max="16384" width="18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ht="15" x14ac:dyDescent="0.25">
      <c r="A2" s="11">
        <v>2018</v>
      </c>
      <c r="B2" s="11" t="s">
        <v>60</v>
      </c>
      <c r="C2" s="23" t="s">
        <v>36</v>
      </c>
      <c r="D2" s="24" t="s">
        <v>42</v>
      </c>
      <c r="E2" s="37">
        <v>7071</v>
      </c>
      <c r="F2" s="41">
        <f>Tabla134567891012[[#This Row],[Nº Mujeres]]*100/Tabla134567891012[[#This Row],[Total]]</f>
        <v>47.851390674697164</v>
      </c>
      <c r="G2" s="37">
        <v>7706</v>
      </c>
      <c r="H2" s="20">
        <f>Tabla134567891012[[#This Row],[Nº Hombres]]*100/15044</f>
        <v>51.223078968359481</v>
      </c>
      <c r="I2" s="37">
        <v>14777</v>
      </c>
    </row>
    <row r="3" spans="1:9" x14ac:dyDescent="0.2">
      <c r="A3" s="11">
        <v>2018</v>
      </c>
      <c r="B3" s="11" t="s">
        <v>60</v>
      </c>
      <c r="C3" s="23" t="s">
        <v>36</v>
      </c>
      <c r="D3" s="27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</row>
    <row r="4" spans="1:9" ht="15" x14ac:dyDescent="0.25">
      <c r="A4" s="11">
        <v>2018</v>
      </c>
      <c r="B4" s="11" t="s">
        <v>60</v>
      </c>
      <c r="C4" s="23" t="s">
        <v>36</v>
      </c>
      <c r="D4" s="24" t="s">
        <v>9</v>
      </c>
      <c r="E4" s="37">
        <v>3</v>
      </c>
      <c r="F4" s="43">
        <f>Tabla134567891012[[#This Row],[Nº Mujeres]]*100/$E$2</f>
        <v>4.242681374628765E-2</v>
      </c>
      <c r="G4" s="37">
        <v>5</v>
      </c>
      <c r="H4" s="20">
        <f>Tabla134567891012[[#This Row],[Nº Hombres]]*100/$G$2</f>
        <v>6.4884505580067475E-2</v>
      </c>
      <c r="I4" s="44">
        <f>Tabla134567891012[[#This Row],[Nº Mujeres]]+Tabla134567891012[[#This Row],[Nº Hombres]]</f>
        <v>8</v>
      </c>
    </row>
    <row r="5" spans="1:9" ht="15" x14ac:dyDescent="0.25">
      <c r="A5" s="11">
        <v>2018</v>
      </c>
      <c r="B5" s="11" t="s">
        <v>60</v>
      </c>
      <c r="C5" s="23" t="s">
        <v>36</v>
      </c>
      <c r="D5" s="24" t="s">
        <v>10</v>
      </c>
      <c r="E5" s="37">
        <v>72</v>
      </c>
      <c r="F5" s="43">
        <f>Tabla134567891012[[#This Row],[Nº Mujeres]]*100/$E$2</f>
        <v>1.0182435299109036</v>
      </c>
      <c r="G5" s="37">
        <v>66</v>
      </c>
      <c r="H5" s="20">
        <f>Tabla134567891012[[#This Row],[Nº Hombres]]*100/$G$2</f>
        <v>0.8564754736568907</v>
      </c>
      <c r="I5" s="44">
        <f>Tabla134567891012[[#This Row],[Nº Mujeres]]+Tabla134567891012[[#This Row],[Nº Hombres]]</f>
        <v>138</v>
      </c>
    </row>
    <row r="6" spans="1:9" ht="15" x14ac:dyDescent="0.25">
      <c r="A6" s="11">
        <v>2018</v>
      </c>
      <c r="B6" s="11" t="s">
        <v>60</v>
      </c>
      <c r="C6" s="23" t="s">
        <v>36</v>
      </c>
      <c r="D6" s="24" t="s">
        <v>11</v>
      </c>
      <c r="E6" s="37">
        <v>106</v>
      </c>
      <c r="F6" s="43">
        <f>Tabla134567891012[[#This Row],[Nº Mujeres]]*100/$E$2</f>
        <v>1.4990807523688305</v>
      </c>
      <c r="G6" s="37">
        <v>119</v>
      </c>
      <c r="H6" s="20">
        <f>Tabla134567891012[[#This Row],[Nº Hombres]]*100/$G$2</f>
        <v>1.5442512328056059</v>
      </c>
      <c r="I6" s="44">
        <f>Tabla134567891012[[#This Row],[Nº Mujeres]]+Tabla134567891012[[#This Row],[Nº Hombres]]</f>
        <v>225</v>
      </c>
    </row>
    <row r="7" spans="1:9" ht="15" x14ac:dyDescent="0.25">
      <c r="A7" s="11">
        <v>2018</v>
      </c>
      <c r="B7" s="11" t="s">
        <v>60</v>
      </c>
      <c r="C7" s="23" t="s">
        <v>36</v>
      </c>
      <c r="D7" s="24" t="s">
        <v>12</v>
      </c>
      <c r="E7" s="37">
        <v>136</v>
      </c>
      <c r="F7" s="43">
        <f>Tabla134567891012[[#This Row],[Nº Mujeres]]*100/$E$2</f>
        <v>1.923348889831707</v>
      </c>
      <c r="G7" s="37">
        <v>157</v>
      </c>
      <c r="H7" s="20">
        <f>Tabla134567891012[[#This Row],[Nº Hombres]]*100/$G$2</f>
        <v>2.0373734752141188</v>
      </c>
      <c r="I7" s="44">
        <f>Tabla134567891012[[#This Row],[Nº Mujeres]]+Tabla134567891012[[#This Row],[Nº Hombres]]</f>
        <v>293</v>
      </c>
    </row>
    <row r="8" spans="1:9" ht="15" x14ac:dyDescent="0.25">
      <c r="A8" s="11">
        <v>2018</v>
      </c>
      <c r="B8" s="11" t="s">
        <v>60</v>
      </c>
      <c r="C8" s="23" t="s">
        <v>36</v>
      </c>
      <c r="D8" s="24" t="s">
        <v>13</v>
      </c>
      <c r="E8" s="37">
        <v>221</v>
      </c>
      <c r="F8" s="43">
        <f>Tabla134567891012[[#This Row],[Nº Mujeres]]*100/$E$2</f>
        <v>3.1254419459765237</v>
      </c>
      <c r="G8" s="37">
        <v>233</v>
      </c>
      <c r="H8" s="20">
        <f>Tabla134567891012[[#This Row],[Nº Hombres]]*100/$G$2</f>
        <v>3.0236179600311446</v>
      </c>
      <c r="I8" s="44">
        <f>Tabla134567891012[[#This Row],[Nº Mujeres]]+Tabla134567891012[[#This Row],[Nº Hombres]]</f>
        <v>454</v>
      </c>
    </row>
    <row r="9" spans="1:9" ht="15" x14ac:dyDescent="0.25">
      <c r="A9" s="11">
        <v>2018</v>
      </c>
      <c r="B9" s="11" t="s">
        <v>60</v>
      </c>
      <c r="C9" s="23" t="s">
        <v>36</v>
      </c>
      <c r="D9" s="24" t="s">
        <v>14</v>
      </c>
      <c r="E9" s="37">
        <v>305</v>
      </c>
      <c r="F9" s="43">
        <f>Tabla134567891012[[#This Row],[Nº Mujeres]]*100/$E$2</f>
        <v>4.3133927308725779</v>
      </c>
      <c r="G9" s="37">
        <v>276</v>
      </c>
      <c r="H9" s="20">
        <f>Tabla134567891012[[#This Row],[Nº Hombres]]*100/$G$2</f>
        <v>3.5816247080197248</v>
      </c>
      <c r="I9" s="44">
        <f>Tabla134567891012[[#This Row],[Nº Mujeres]]+Tabla134567891012[[#This Row],[Nº Hombres]]</f>
        <v>581</v>
      </c>
    </row>
    <row r="10" spans="1:9" ht="15" x14ac:dyDescent="0.25">
      <c r="A10" s="11">
        <v>2018</v>
      </c>
      <c r="B10" s="11" t="s">
        <v>60</v>
      </c>
      <c r="C10" s="23" t="s">
        <v>36</v>
      </c>
      <c r="D10" s="24" t="s">
        <v>15</v>
      </c>
      <c r="E10" s="37">
        <v>617</v>
      </c>
      <c r="F10" s="43">
        <f>Tabla134567891012[[#This Row],[Nº Mujeres]]*100/$E$2</f>
        <v>8.7257813604864936</v>
      </c>
      <c r="G10" s="37">
        <v>662</v>
      </c>
      <c r="H10" s="20">
        <f>Tabla134567891012[[#This Row],[Nº Hombres]]*100/$G$2</f>
        <v>8.5907085388009339</v>
      </c>
      <c r="I10" s="44">
        <f>Tabla134567891012[[#This Row],[Nº Mujeres]]+Tabla134567891012[[#This Row],[Nº Hombres]]</f>
        <v>1279</v>
      </c>
    </row>
    <row r="11" spans="1:9" ht="15" x14ac:dyDescent="0.25">
      <c r="A11" s="11">
        <v>2018</v>
      </c>
      <c r="B11" s="11" t="s">
        <v>60</v>
      </c>
      <c r="C11" s="23" t="s">
        <v>36</v>
      </c>
      <c r="D11" s="24" t="s">
        <v>16</v>
      </c>
      <c r="E11" s="37">
        <v>997</v>
      </c>
      <c r="F11" s="43">
        <f>Tabla134567891012[[#This Row],[Nº Mujeres]]*100/$E$2</f>
        <v>14.099844435016264</v>
      </c>
      <c r="G11" s="37">
        <v>1081</v>
      </c>
      <c r="H11" s="20">
        <f>Tabla134567891012[[#This Row],[Nº Hombres]]*100/$G$2</f>
        <v>14.02803010641059</v>
      </c>
      <c r="I11" s="44">
        <f>Tabla134567891012[[#This Row],[Nº Mujeres]]+Tabla134567891012[[#This Row],[Nº Hombres]]</f>
        <v>2078</v>
      </c>
    </row>
    <row r="12" spans="1:9" ht="15" x14ac:dyDescent="0.25">
      <c r="A12" s="11">
        <v>2018</v>
      </c>
      <c r="B12" s="11" t="s">
        <v>60</v>
      </c>
      <c r="C12" s="23" t="s">
        <v>36</v>
      </c>
      <c r="D12" s="24" t="s">
        <v>17</v>
      </c>
      <c r="E12" s="37">
        <v>919</v>
      </c>
      <c r="F12" s="43">
        <f>Tabla134567891012[[#This Row],[Nº Mujeres]]*100/$E$2</f>
        <v>12.996747277612785</v>
      </c>
      <c r="G12" s="37">
        <v>1065</v>
      </c>
      <c r="H12" s="20">
        <f>Tabla134567891012[[#This Row],[Nº Hombres]]*100/$G$2</f>
        <v>13.820399688554373</v>
      </c>
      <c r="I12" s="44">
        <f>Tabla134567891012[[#This Row],[Nº Mujeres]]+Tabla134567891012[[#This Row],[Nº Hombres]]</f>
        <v>1984</v>
      </c>
    </row>
    <row r="13" spans="1:9" ht="15" x14ac:dyDescent="0.25">
      <c r="A13" s="11">
        <v>2018</v>
      </c>
      <c r="B13" s="11" t="s">
        <v>60</v>
      </c>
      <c r="C13" s="23" t="s">
        <v>36</v>
      </c>
      <c r="D13" s="24" t="s">
        <v>18</v>
      </c>
      <c r="E13" s="37">
        <v>866</v>
      </c>
      <c r="F13" s="43">
        <f>Tabla134567891012[[#This Row],[Nº Mujeres]]*100/$E$2</f>
        <v>12.247206901428369</v>
      </c>
      <c r="G13" s="37">
        <v>906</v>
      </c>
      <c r="H13" s="20">
        <f>Tabla134567891012[[#This Row],[Nº Hombres]]*100/$G$2</f>
        <v>11.757072411108227</v>
      </c>
      <c r="I13" s="44">
        <f>Tabla134567891012[[#This Row],[Nº Mujeres]]+Tabla134567891012[[#This Row],[Nº Hombres]]</f>
        <v>1772</v>
      </c>
    </row>
    <row r="14" spans="1:9" ht="15" x14ac:dyDescent="0.25">
      <c r="A14" s="11">
        <v>2018</v>
      </c>
      <c r="B14" s="11" t="s">
        <v>60</v>
      </c>
      <c r="C14" s="23" t="s">
        <v>36</v>
      </c>
      <c r="D14" s="24" t="s">
        <v>19</v>
      </c>
      <c r="E14" s="37">
        <v>698</v>
      </c>
      <c r="F14" s="43">
        <f>Tabla134567891012[[#This Row],[Nº Mujeres]]*100/$E$2</f>
        <v>9.8713053316362611</v>
      </c>
      <c r="G14" s="37">
        <v>812</v>
      </c>
      <c r="H14" s="20">
        <f>Tabla134567891012[[#This Row],[Nº Hombres]]*100/$G$2</f>
        <v>10.537243706202959</v>
      </c>
      <c r="I14" s="44">
        <f>Tabla134567891012[[#This Row],[Nº Mujeres]]+Tabla134567891012[[#This Row],[Nº Hombres]]</f>
        <v>1510</v>
      </c>
    </row>
    <row r="15" spans="1:9" ht="15" x14ac:dyDescent="0.25">
      <c r="A15" s="11">
        <v>2018</v>
      </c>
      <c r="B15" s="11" t="s">
        <v>60</v>
      </c>
      <c r="C15" s="23" t="s">
        <v>36</v>
      </c>
      <c r="D15" s="24" t="s">
        <v>20</v>
      </c>
      <c r="E15" s="37">
        <v>698</v>
      </c>
      <c r="F15" s="43">
        <f>Tabla134567891012[[#This Row],[Nº Mujeres]]*100/$E$2</f>
        <v>9.8713053316362611</v>
      </c>
      <c r="G15" s="37">
        <v>829</v>
      </c>
      <c r="H15" s="20">
        <f>Tabla134567891012[[#This Row],[Nº Hombres]]*100/$G$2</f>
        <v>10.757851025175189</v>
      </c>
      <c r="I15" s="44">
        <f>Tabla134567891012[[#This Row],[Nº Mujeres]]+Tabla134567891012[[#This Row],[Nº Hombres]]</f>
        <v>1527</v>
      </c>
    </row>
    <row r="16" spans="1:9" ht="15" x14ac:dyDescent="0.25">
      <c r="A16" s="11">
        <v>2018</v>
      </c>
      <c r="B16" s="11" t="s">
        <v>60</v>
      </c>
      <c r="C16" s="23" t="s">
        <v>36</v>
      </c>
      <c r="D16" s="24" t="s">
        <v>21</v>
      </c>
      <c r="E16" s="37">
        <v>626</v>
      </c>
      <c r="F16" s="43">
        <f>Tabla134567891012[[#This Row],[Nº Mujeres]]*100/$E$2</f>
        <v>8.8530618017253566</v>
      </c>
      <c r="G16" s="37">
        <v>689</v>
      </c>
      <c r="H16" s="20">
        <f>Tabla134567891012[[#This Row],[Nº Hombres]]*100/$G$2</f>
        <v>8.9410848689332987</v>
      </c>
      <c r="I16" s="44">
        <f>Tabla134567891012[[#This Row],[Nº Mujeres]]+Tabla134567891012[[#This Row],[Nº Hombres]]</f>
        <v>1315</v>
      </c>
    </row>
    <row r="17" spans="1:9" ht="15" x14ac:dyDescent="0.25">
      <c r="A17" s="11">
        <v>2018</v>
      </c>
      <c r="B17" s="11" t="s">
        <v>60</v>
      </c>
      <c r="C17" s="23" t="s">
        <v>36</v>
      </c>
      <c r="D17" s="24" t="s">
        <v>22</v>
      </c>
      <c r="E17" s="37">
        <v>807</v>
      </c>
      <c r="F17" s="43">
        <f>Tabla134567891012[[#This Row],[Nº Mujeres]]*100/$E$2</f>
        <v>11.41281289775138</v>
      </c>
      <c r="G17" s="37">
        <v>806</v>
      </c>
      <c r="H17" s="20">
        <f>Tabla134567891012[[#This Row],[Nº Hombres]]*100/$G$2</f>
        <v>10.459382299506878</v>
      </c>
      <c r="I17" s="44">
        <f>Tabla134567891012[[#This Row],[Nº Mujeres]]+Tabla134567891012[[#This Row],[Nº Hombres]]</f>
        <v>1613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"/>
  <sheetViews>
    <sheetView tabSelected="1" workbookViewId="0">
      <selection activeCell="J2" sqref="J2"/>
    </sheetView>
  </sheetViews>
  <sheetFormatPr baseColWidth="10" defaultColWidth="18.7109375" defaultRowHeight="12.75" x14ac:dyDescent="0.2"/>
  <cols>
    <col min="1" max="2" width="18.7109375" style="22"/>
    <col min="3" max="3" width="26.7109375" style="22" customWidth="1"/>
    <col min="4" max="16384" width="18.7109375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ht="26.25" x14ac:dyDescent="0.25">
      <c r="A2" s="11">
        <v>2018</v>
      </c>
      <c r="B2" s="11" t="s">
        <v>60</v>
      </c>
      <c r="C2" s="23" t="s">
        <v>38</v>
      </c>
      <c r="D2" s="11" t="s">
        <v>42</v>
      </c>
      <c r="E2" s="37">
        <v>2652</v>
      </c>
      <c r="F2" s="41">
        <f>Tabla13456789101314[[#This Row],[Nº Mujeres]]*100/Tabla13456789101314[[#This Row],[Total]]</f>
        <v>43.227383863080682</v>
      </c>
      <c r="G2" s="37">
        <v>3483</v>
      </c>
      <c r="H2" s="20">
        <f>Tabla13456789101314[[#This Row],[Nº Hombres]]*100/6317</f>
        <v>55.136932088016465</v>
      </c>
      <c r="I2" s="37">
        <v>6135</v>
      </c>
    </row>
    <row r="3" spans="1:9" ht="25.5" x14ac:dyDescent="0.2">
      <c r="A3" s="11">
        <v>2018</v>
      </c>
      <c r="B3" s="11" t="s">
        <v>60</v>
      </c>
      <c r="C3" s="23" t="s">
        <v>38</v>
      </c>
      <c r="D3" s="42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</row>
    <row r="4" spans="1:9" ht="27" customHeight="1" x14ac:dyDescent="0.25">
      <c r="A4" s="11">
        <v>2018</v>
      </c>
      <c r="B4" s="11" t="s">
        <v>60</v>
      </c>
      <c r="C4" s="23" t="s">
        <v>38</v>
      </c>
      <c r="D4" s="11" t="s">
        <v>9</v>
      </c>
      <c r="E4" s="37">
        <v>4</v>
      </c>
      <c r="F4" s="43">
        <f>Tabla13456789101314[[#This Row],[Nº Mujeres]]*100/$E$2</f>
        <v>0.15082956259426847</v>
      </c>
      <c r="G4" s="37">
        <v>3</v>
      </c>
      <c r="H4" s="20">
        <f>Tabla13456789101314[[#This Row],[Nº Hombres]]*100/$G$2</f>
        <v>8.6132644272179162E-2</v>
      </c>
      <c r="I4" s="44">
        <f>Tabla13456789101314[[#This Row],[Nº Mujeres]]+Tabla13456789101314[[#This Row],[Nº Hombres]]</f>
        <v>7</v>
      </c>
    </row>
    <row r="5" spans="1:9" ht="27" customHeight="1" x14ac:dyDescent="0.25">
      <c r="A5" s="11">
        <v>2018</v>
      </c>
      <c r="B5" s="11" t="s">
        <v>60</v>
      </c>
      <c r="C5" s="23" t="s">
        <v>38</v>
      </c>
      <c r="D5" s="11" t="s">
        <v>10</v>
      </c>
      <c r="E5" s="37">
        <v>34</v>
      </c>
      <c r="F5" s="43">
        <f>Tabla13456789101314[[#This Row],[Nº Mujeres]]*100/$E$2</f>
        <v>1.2820512820512822</v>
      </c>
      <c r="G5" s="37">
        <v>47</v>
      </c>
      <c r="H5" s="20">
        <f>Tabla13456789101314[[#This Row],[Nº Hombres]]*100/$G$2</f>
        <v>1.3494114269308068</v>
      </c>
      <c r="I5" s="44">
        <f>Tabla13456789101314[[#This Row],[Nº Mujeres]]+Tabla13456789101314[[#This Row],[Nº Hombres]]</f>
        <v>81</v>
      </c>
    </row>
    <row r="6" spans="1:9" ht="28.5" customHeight="1" x14ac:dyDescent="0.25">
      <c r="A6" s="11">
        <v>2018</v>
      </c>
      <c r="B6" s="11" t="s">
        <v>60</v>
      </c>
      <c r="C6" s="23" t="s">
        <v>38</v>
      </c>
      <c r="D6" s="11" t="s">
        <v>11</v>
      </c>
      <c r="E6" s="37">
        <v>67</v>
      </c>
      <c r="F6" s="43">
        <f>Tabla13456789101314[[#This Row],[Nº Mujeres]]*100/$E$2</f>
        <v>2.5263951734539969</v>
      </c>
      <c r="G6" s="37">
        <v>50</v>
      </c>
      <c r="H6" s="20">
        <f>Tabla13456789101314[[#This Row],[Nº Hombres]]*100/$G$2</f>
        <v>1.4355440712029859</v>
      </c>
      <c r="I6" s="44">
        <f>Tabla13456789101314[[#This Row],[Nº Mujeres]]+Tabla13456789101314[[#This Row],[Nº Hombres]]</f>
        <v>117</v>
      </c>
    </row>
    <row r="7" spans="1:9" ht="28.5" customHeight="1" x14ac:dyDescent="0.25">
      <c r="A7" s="11">
        <v>2018</v>
      </c>
      <c r="B7" s="11" t="s">
        <v>60</v>
      </c>
      <c r="C7" s="23" t="s">
        <v>38</v>
      </c>
      <c r="D7" s="11" t="s">
        <v>12</v>
      </c>
      <c r="E7" s="37">
        <v>80</v>
      </c>
      <c r="F7" s="43">
        <f>Tabla13456789101314[[#This Row],[Nº Mujeres]]*100/$E$2</f>
        <v>3.0165912518853695</v>
      </c>
      <c r="G7" s="37">
        <v>88</v>
      </c>
      <c r="H7" s="20">
        <f>Tabla13456789101314[[#This Row],[Nº Hombres]]*100/$G$2</f>
        <v>2.5265575653172552</v>
      </c>
      <c r="I7" s="44">
        <f>Tabla13456789101314[[#This Row],[Nº Mujeres]]+Tabla13456789101314[[#This Row],[Nº Hombres]]</f>
        <v>168</v>
      </c>
    </row>
    <row r="8" spans="1:9" ht="27.75" customHeight="1" x14ac:dyDescent="0.25">
      <c r="A8" s="11">
        <v>2018</v>
      </c>
      <c r="B8" s="11" t="s">
        <v>60</v>
      </c>
      <c r="C8" s="23" t="s">
        <v>38</v>
      </c>
      <c r="D8" s="11" t="s">
        <v>13</v>
      </c>
      <c r="E8" s="37">
        <v>109</v>
      </c>
      <c r="F8" s="43">
        <f>Tabla13456789101314[[#This Row],[Nº Mujeres]]*100/$E$2</f>
        <v>4.1101055806938156</v>
      </c>
      <c r="G8" s="37">
        <v>126</v>
      </c>
      <c r="H8" s="20">
        <f>Tabla13456789101314[[#This Row],[Nº Hombres]]*100/$G$2</f>
        <v>3.6175710594315245</v>
      </c>
      <c r="I8" s="44">
        <f>Tabla13456789101314[[#This Row],[Nº Mujeres]]+Tabla13456789101314[[#This Row],[Nº Hombres]]</f>
        <v>235</v>
      </c>
    </row>
    <row r="9" spans="1:9" ht="25.5" customHeight="1" x14ac:dyDescent="0.25">
      <c r="A9" s="11">
        <v>2018</v>
      </c>
      <c r="B9" s="11" t="s">
        <v>60</v>
      </c>
      <c r="C9" s="23" t="s">
        <v>38</v>
      </c>
      <c r="D9" s="11" t="s">
        <v>14</v>
      </c>
      <c r="E9" s="37">
        <v>161</v>
      </c>
      <c r="F9" s="43">
        <f>Tabla13456789101314[[#This Row],[Nº Mujeres]]*100/$E$2</f>
        <v>6.0708898944193059</v>
      </c>
      <c r="G9" s="37">
        <v>187</v>
      </c>
      <c r="H9" s="20">
        <f>Tabla13456789101314[[#This Row],[Nº Hombres]]*100/$G$2</f>
        <v>5.3689348262991672</v>
      </c>
      <c r="I9" s="44">
        <f>Tabla13456789101314[[#This Row],[Nº Mujeres]]+Tabla13456789101314[[#This Row],[Nº Hombres]]</f>
        <v>348</v>
      </c>
    </row>
    <row r="10" spans="1:9" ht="28.5" customHeight="1" x14ac:dyDescent="0.25">
      <c r="A10" s="11">
        <v>2018</v>
      </c>
      <c r="B10" s="11" t="s">
        <v>60</v>
      </c>
      <c r="C10" s="23" t="s">
        <v>38</v>
      </c>
      <c r="D10" s="11" t="s">
        <v>15</v>
      </c>
      <c r="E10" s="37">
        <v>250</v>
      </c>
      <c r="F10" s="43">
        <f>Tabla13456789101314[[#This Row],[Nº Mujeres]]*100/$E$2</f>
        <v>9.42684766214178</v>
      </c>
      <c r="G10" s="37">
        <v>364</v>
      </c>
      <c r="H10" s="20">
        <f>Tabla13456789101314[[#This Row],[Nº Hombres]]*100/$G$2</f>
        <v>10.450760838357738</v>
      </c>
      <c r="I10" s="44">
        <f>Tabla13456789101314[[#This Row],[Nº Mujeres]]+Tabla13456789101314[[#This Row],[Nº Hombres]]</f>
        <v>614</v>
      </c>
    </row>
    <row r="11" spans="1:9" ht="24" customHeight="1" x14ac:dyDescent="0.25">
      <c r="A11" s="11">
        <v>2018</v>
      </c>
      <c r="B11" s="11" t="s">
        <v>60</v>
      </c>
      <c r="C11" s="23" t="s">
        <v>38</v>
      </c>
      <c r="D11" s="11" t="s">
        <v>16</v>
      </c>
      <c r="E11" s="37">
        <v>408</v>
      </c>
      <c r="F11" s="43">
        <f>Tabla13456789101314[[#This Row],[Nº Mujeres]]*100/$E$2</f>
        <v>15.384615384615385</v>
      </c>
      <c r="G11" s="37">
        <v>532</v>
      </c>
      <c r="H11" s="20">
        <f>Tabla13456789101314[[#This Row],[Nº Hombres]]*100/$G$2</f>
        <v>15.274188917599771</v>
      </c>
      <c r="I11" s="44">
        <f>Tabla13456789101314[[#This Row],[Nº Mujeres]]+Tabla13456789101314[[#This Row],[Nº Hombres]]</f>
        <v>940</v>
      </c>
    </row>
    <row r="12" spans="1:9" ht="26.25" customHeight="1" x14ac:dyDescent="0.25">
      <c r="A12" s="11">
        <v>2018</v>
      </c>
      <c r="B12" s="11" t="s">
        <v>60</v>
      </c>
      <c r="C12" s="23" t="s">
        <v>38</v>
      </c>
      <c r="D12" s="11" t="s">
        <v>17</v>
      </c>
      <c r="E12" s="37">
        <v>346</v>
      </c>
      <c r="F12" s="43">
        <f>Tabla13456789101314[[#This Row],[Nº Mujeres]]*100/$E$2</f>
        <v>13.046757164404223</v>
      </c>
      <c r="G12" s="37">
        <v>490</v>
      </c>
      <c r="H12" s="20">
        <f>Tabla13456789101314[[#This Row],[Nº Hombres]]*100/$G$2</f>
        <v>14.068331897789262</v>
      </c>
      <c r="I12" s="44">
        <f>Tabla13456789101314[[#This Row],[Nº Mujeres]]+Tabla13456789101314[[#This Row],[Nº Hombres]]</f>
        <v>836</v>
      </c>
    </row>
    <row r="13" spans="1:9" ht="34.5" customHeight="1" x14ac:dyDescent="0.25">
      <c r="A13" s="11">
        <v>2018</v>
      </c>
      <c r="B13" s="11" t="s">
        <v>60</v>
      </c>
      <c r="C13" s="23" t="s">
        <v>38</v>
      </c>
      <c r="D13" s="11" t="s">
        <v>18</v>
      </c>
      <c r="E13" s="37">
        <v>304</v>
      </c>
      <c r="F13" s="43">
        <f>Tabla13456789101314[[#This Row],[Nº Mujeres]]*100/$E$2</f>
        <v>11.463046757164404</v>
      </c>
      <c r="G13" s="37">
        <v>398</v>
      </c>
      <c r="H13" s="20">
        <f>Tabla13456789101314[[#This Row],[Nº Hombres]]*100/$G$2</f>
        <v>11.426930806775768</v>
      </c>
      <c r="I13" s="44">
        <f>Tabla13456789101314[[#This Row],[Nº Mujeres]]+Tabla13456789101314[[#This Row],[Nº Hombres]]</f>
        <v>702</v>
      </c>
    </row>
    <row r="14" spans="1:9" ht="21.75" customHeight="1" x14ac:dyDescent="0.25">
      <c r="A14" s="11">
        <v>2018</v>
      </c>
      <c r="B14" s="11" t="s">
        <v>60</v>
      </c>
      <c r="C14" s="23" t="s">
        <v>38</v>
      </c>
      <c r="D14" s="11" t="s">
        <v>19</v>
      </c>
      <c r="E14" s="37">
        <v>230</v>
      </c>
      <c r="F14" s="43">
        <f>Tabla13456789101314[[#This Row],[Nº Mujeres]]*100/$E$2</f>
        <v>8.6726998491704368</v>
      </c>
      <c r="G14" s="37">
        <v>359</v>
      </c>
      <c r="H14" s="20">
        <f>Tabla13456789101314[[#This Row],[Nº Hombres]]*100/$G$2</f>
        <v>10.307206431237439</v>
      </c>
      <c r="I14" s="44">
        <f>Tabla13456789101314[[#This Row],[Nº Mujeres]]+Tabla13456789101314[[#This Row],[Nº Hombres]]</f>
        <v>589</v>
      </c>
    </row>
    <row r="15" spans="1:9" ht="21.75" customHeight="1" x14ac:dyDescent="0.25">
      <c r="A15" s="11">
        <v>2018</v>
      </c>
      <c r="B15" s="11" t="s">
        <v>60</v>
      </c>
      <c r="C15" s="23" t="s">
        <v>38</v>
      </c>
      <c r="D15" s="11" t="s">
        <v>20</v>
      </c>
      <c r="E15" s="37">
        <v>215</v>
      </c>
      <c r="F15" s="43">
        <f>Tabla13456789101314[[#This Row],[Nº Mujeres]]*100/$E$2</f>
        <v>8.1070889894419302</v>
      </c>
      <c r="G15" s="37">
        <v>315</v>
      </c>
      <c r="H15" s="20">
        <f>Tabla13456789101314[[#This Row],[Nº Hombres]]*100/$G$2</f>
        <v>9.043927648578812</v>
      </c>
      <c r="I15" s="44">
        <f>Tabla13456789101314[[#This Row],[Nº Mujeres]]+Tabla13456789101314[[#This Row],[Nº Hombres]]</f>
        <v>530</v>
      </c>
    </row>
    <row r="16" spans="1:9" ht="32.25" customHeight="1" x14ac:dyDescent="0.25">
      <c r="A16" s="11">
        <v>2018</v>
      </c>
      <c r="B16" s="11" t="s">
        <v>60</v>
      </c>
      <c r="C16" s="23" t="s">
        <v>38</v>
      </c>
      <c r="D16" s="11" t="s">
        <v>21</v>
      </c>
      <c r="E16" s="37">
        <v>193</v>
      </c>
      <c r="F16" s="43">
        <f>Tabla13456789101314[[#This Row],[Nº Mujeres]]*100/$E$2</f>
        <v>7.2775263951734539</v>
      </c>
      <c r="G16" s="37">
        <v>250</v>
      </c>
      <c r="H16" s="20">
        <f>Tabla13456789101314[[#This Row],[Nº Hombres]]*100/$G$2</f>
        <v>7.1777203560149294</v>
      </c>
      <c r="I16" s="44">
        <f>Tabla13456789101314[[#This Row],[Nº Mujeres]]+Tabla13456789101314[[#This Row],[Nº Hombres]]</f>
        <v>443</v>
      </c>
    </row>
    <row r="17" spans="1:9" ht="26.25" x14ac:dyDescent="0.25">
      <c r="A17" s="11">
        <v>2018</v>
      </c>
      <c r="B17" s="11" t="s">
        <v>60</v>
      </c>
      <c r="C17" s="23" t="s">
        <v>38</v>
      </c>
      <c r="D17" s="11" t="s">
        <v>22</v>
      </c>
      <c r="E17" s="37">
        <v>251</v>
      </c>
      <c r="F17" s="43">
        <f>Tabla13456789101314[[#This Row],[Nº Mujeres]]*100/$E$2</f>
        <v>9.464555052790347</v>
      </c>
      <c r="G17" s="37">
        <v>274</v>
      </c>
      <c r="H17" s="20">
        <f>Tabla13456789101314[[#This Row],[Nº Hombres]]*100/$G$2</f>
        <v>7.8667815101923626</v>
      </c>
      <c r="I17" s="44">
        <f>Tabla13456789101314[[#This Row],[Nº Mujeres]]+Tabla13456789101314[[#This Row],[Nº Hombres]]</f>
        <v>525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"/>
  <sheetViews>
    <sheetView topLeftCell="D1" workbookViewId="0">
      <selection activeCell="J4" sqref="J4"/>
    </sheetView>
  </sheetViews>
  <sheetFormatPr baseColWidth="10" defaultColWidth="18" defaultRowHeight="12.75" x14ac:dyDescent="0.2"/>
  <cols>
    <col min="1" max="4" width="18" style="22"/>
    <col min="5" max="5" width="11.28515625" style="22" customWidth="1"/>
    <col min="6" max="6" width="12.28515625" style="22" customWidth="1"/>
    <col min="7" max="7" width="12.7109375" style="22" customWidth="1"/>
    <col min="8" max="8" width="12.140625" style="22" customWidth="1"/>
    <col min="9" max="9" width="16.28515625" style="22" customWidth="1"/>
    <col min="10" max="16384" width="18" style="22"/>
  </cols>
  <sheetData>
    <row r="1" spans="1:9" x14ac:dyDescent="0.2">
      <c r="A1" s="9" t="s">
        <v>0</v>
      </c>
      <c r="B1" s="9" t="s">
        <v>1</v>
      </c>
      <c r="C1" s="9" t="s">
        <v>23</v>
      </c>
      <c r="D1" s="9" t="s">
        <v>24</v>
      </c>
      <c r="E1" s="9" t="s">
        <v>2</v>
      </c>
      <c r="F1" s="10" t="s">
        <v>3</v>
      </c>
      <c r="G1" s="9" t="s">
        <v>4</v>
      </c>
      <c r="H1" s="9" t="s">
        <v>5</v>
      </c>
      <c r="I1" s="9" t="s">
        <v>6</v>
      </c>
    </row>
    <row r="2" spans="1:9" ht="30" customHeight="1" x14ac:dyDescent="0.25">
      <c r="A2" s="11">
        <v>2018</v>
      </c>
      <c r="B2" s="11" t="s">
        <v>60</v>
      </c>
      <c r="C2" s="23" t="s">
        <v>39</v>
      </c>
      <c r="D2" s="11" t="s">
        <v>42</v>
      </c>
      <c r="E2" s="37">
        <v>3087</v>
      </c>
      <c r="F2" s="41">
        <f>Tabla13456789101315[[#This Row],[Nº Mujeres]]*100/Tabla13456789101315[[#This Row],[Total]]</f>
        <v>45.638675340035483</v>
      </c>
      <c r="G2" s="37">
        <v>3677</v>
      </c>
      <c r="H2" s="20">
        <f>Tabla13456789101315[[#This Row],[Nº Hombres]]*100/6950</f>
        <v>52.906474820143885</v>
      </c>
      <c r="I2" s="37">
        <v>6764</v>
      </c>
    </row>
    <row r="3" spans="1:9" ht="28.5" customHeight="1" x14ac:dyDescent="0.2">
      <c r="A3" s="11">
        <v>2018</v>
      </c>
      <c r="B3" s="11" t="s">
        <v>60</v>
      </c>
      <c r="C3" s="23" t="s">
        <v>39</v>
      </c>
      <c r="D3" s="42" t="s">
        <v>8</v>
      </c>
      <c r="E3" s="35" t="s">
        <v>26</v>
      </c>
      <c r="F3" s="35" t="s">
        <v>26</v>
      </c>
      <c r="G3" s="35" t="s">
        <v>26</v>
      </c>
      <c r="H3" s="35" t="s">
        <v>26</v>
      </c>
      <c r="I3" s="35" t="s">
        <v>26</v>
      </c>
    </row>
    <row r="4" spans="1:9" ht="28.5" customHeight="1" x14ac:dyDescent="0.25">
      <c r="A4" s="11">
        <v>2018</v>
      </c>
      <c r="B4" s="11" t="s">
        <v>60</v>
      </c>
      <c r="C4" s="23" t="s">
        <v>39</v>
      </c>
      <c r="D4" s="11" t="s">
        <v>9</v>
      </c>
      <c r="E4" s="37">
        <v>6</v>
      </c>
      <c r="F4" s="43">
        <f>Tabla13456789101315[[#This Row],[Nº Mujeres]]*100/$E$2</f>
        <v>0.19436345966958213</v>
      </c>
      <c r="G4" s="37">
        <v>7</v>
      </c>
      <c r="H4" s="20">
        <f>Tabla13456789101315[[#This Row],[Nº Hombres]]*100/$G$2</f>
        <v>0.19037258634756596</v>
      </c>
      <c r="I4" s="44">
        <f>Tabla13456789101315[[#This Row],[Nº Mujeres]]+Tabla13456789101315[[#This Row],[Nº Hombres]]</f>
        <v>13</v>
      </c>
    </row>
    <row r="5" spans="1:9" ht="29.25" customHeight="1" x14ac:dyDescent="0.25">
      <c r="A5" s="11">
        <v>2018</v>
      </c>
      <c r="B5" s="11" t="s">
        <v>60</v>
      </c>
      <c r="C5" s="23" t="s">
        <v>39</v>
      </c>
      <c r="D5" s="11" t="s">
        <v>10</v>
      </c>
      <c r="E5" s="37">
        <v>70</v>
      </c>
      <c r="F5" s="43">
        <f>Tabla13456789101315[[#This Row],[Nº Mujeres]]*100/$E$2</f>
        <v>2.2675736961451247</v>
      </c>
      <c r="G5" s="37">
        <v>55</v>
      </c>
      <c r="H5" s="20">
        <f>Tabla13456789101315[[#This Row],[Nº Hombres]]*100/$G$2</f>
        <v>1.4957846070165897</v>
      </c>
      <c r="I5" s="44">
        <f>Tabla13456789101315[[#This Row],[Nº Mujeres]]+Tabla13456789101315[[#This Row],[Nº Hombres]]</f>
        <v>125</v>
      </c>
    </row>
    <row r="6" spans="1:9" ht="29.25" customHeight="1" x14ac:dyDescent="0.25">
      <c r="A6" s="11">
        <v>2018</v>
      </c>
      <c r="B6" s="11" t="s">
        <v>60</v>
      </c>
      <c r="C6" s="23" t="s">
        <v>39</v>
      </c>
      <c r="D6" s="11" t="s">
        <v>11</v>
      </c>
      <c r="E6" s="37">
        <v>64</v>
      </c>
      <c r="F6" s="43">
        <f>Tabla13456789101315[[#This Row],[Nº Mujeres]]*100/$E$2</f>
        <v>2.0732102364755427</v>
      </c>
      <c r="G6" s="37">
        <v>98</v>
      </c>
      <c r="H6" s="20">
        <f>Tabla13456789101315[[#This Row],[Nº Hombres]]*100/$G$2</f>
        <v>2.6652162088659233</v>
      </c>
      <c r="I6" s="44">
        <f>Tabla13456789101315[[#This Row],[Nº Mujeres]]+Tabla13456789101315[[#This Row],[Nº Hombres]]</f>
        <v>162</v>
      </c>
    </row>
    <row r="7" spans="1:9" ht="29.25" customHeight="1" x14ac:dyDescent="0.25">
      <c r="A7" s="11">
        <v>2018</v>
      </c>
      <c r="B7" s="11" t="s">
        <v>60</v>
      </c>
      <c r="C7" s="23" t="s">
        <v>39</v>
      </c>
      <c r="D7" s="11" t="s">
        <v>12</v>
      </c>
      <c r="E7" s="37">
        <v>79</v>
      </c>
      <c r="F7" s="43">
        <f>Tabla13456789101315[[#This Row],[Nº Mujeres]]*100/$E$2</f>
        <v>2.559118885649498</v>
      </c>
      <c r="G7" s="37">
        <v>93</v>
      </c>
      <c r="H7" s="20">
        <f>Tabla13456789101315[[#This Row],[Nº Hombres]]*100/$G$2</f>
        <v>2.5292357900462332</v>
      </c>
      <c r="I7" s="44">
        <f>Tabla13456789101315[[#This Row],[Nº Mujeres]]+Tabla13456789101315[[#This Row],[Nº Hombres]]</f>
        <v>172</v>
      </c>
    </row>
    <row r="8" spans="1:9" ht="29.25" customHeight="1" x14ac:dyDescent="0.25">
      <c r="A8" s="11">
        <v>2018</v>
      </c>
      <c r="B8" s="11" t="s">
        <v>60</v>
      </c>
      <c r="C8" s="23" t="s">
        <v>39</v>
      </c>
      <c r="D8" s="11" t="s">
        <v>13</v>
      </c>
      <c r="E8" s="37">
        <v>96</v>
      </c>
      <c r="F8" s="43">
        <f>Tabla13456789101315[[#This Row],[Nº Mujeres]]*100/$E$2</f>
        <v>3.1098153547133141</v>
      </c>
      <c r="G8" s="37">
        <v>113</v>
      </c>
      <c r="H8" s="20">
        <f>Tabla13456789101315[[#This Row],[Nº Hombres]]*100/$G$2</f>
        <v>3.0731574653249933</v>
      </c>
      <c r="I8" s="44">
        <f>Tabla13456789101315[[#This Row],[Nº Mujeres]]+Tabla13456789101315[[#This Row],[Nº Hombres]]</f>
        <v>209</v>
      </c>
    </row>
    <row r="9" spans="1:9" ht="36" customHeight="1" x14ac:dyDescent="0.25">
      <c r="A9" s="11">
        <v>2018</v>
      </c>
      <c r="B9" s="11" t="s">
        <v>60</v>
      </c>
      <c r="C9" s="23" t="s">
        <v>39</v>
      </c>
      <c r="D9" s="11" t="s">
        <v>14</v>
      </c>
      <c r="E9" s="37">
        <v>139</v>
      </c>
      <c r="F9" s="43">
        <f>Tabla13456789101315[[#This Row],[Nº Mujeres]]*100/$E$2</f>
        <v>4.5027534823453195</v>
      </c>
      <c r="G9" s="37">
        <v>160</v>
      </c>
      <c r="H9" s="20">
        <f>Tabla13456789101315[[#This Row],[Nº Hombres]]*100/$G$2</f>
        <v>4.3513734022300792</v>
      </c>
      <c r="I9" s="44">
        <f>Tabla13456789101315[[#This Row],[Nº Mujeres]]+Tabla13456789101315[[#This Row],[Nº Hombres]]</f>
        <v>299</v>
      </c>
    </row>
    <row r="10" spans="1:9" ht="36" customHeight="1" x14ac:dyDescent="0.25">
      <c r="A10" s="11">
        <v>2018</v>
      </c>
      <c r="B10" s="11" t="s">
        <v>60</v>
      </c>
      <c r="C10" s="23" t="s">
        <v>39</v>
      </c>
      <c r="D10" s="11" t="s">
        <v>15</v>
      </c>
      <c r="E10" s="37">
        <v>271</v>
      </c>
      <c r="F10" s="43">
        <f>Tabla13456789101315[[#This Row],[Nº Mujeres]]*100/$E$2</f>
        <v>8.7787495950761265</v>
      </c>
      <c r="G10" s="37">
        <v>306</v>
      </c>
      <c r="H10" s="20">
        <f>Tabla13456789101315[[#This Row],[Nº Hombres]]*100/$G$2</f>
        <v>8.3220016317650263</v>
      </c>
      <c r="I10" s="44">
        <f>Tabla13456789101315[[#This Row],[Nº Mujeres]]+Tabla13456789101315[[#This Row],[Nº Hombres]]</f>
        <v>577</v>
      </c>
    </row>
    <row r="11" spans="1:9" ht="36" customHeight="1" x14ac:dyDescent="0.25">
      <c r="A11" s="11">
        <v>2018</v>
      </c>
      <c r="B11" s="11" t="s">
        <v>60</v>
      </c>
      <c r="C11" s="23" t="s">
        <v>39</v>
      </c>
      <c r="D11" s="11" t="s">
        <v>16</v>
      </c>
      <c r="E11" s="37">
        <v>436</v>
      </c>
      <c r="F11" s="43">
        <f>Tabla13456789101315[[#This Row],[Nº Mujeres]]*100/$E$2</f>
        <v>14.123744735989634</v>
      </c>
      <c r="G11" s="37">
        <v>500</v>
      </c>
      <c r="H11" s="20">
        <f>Tabla13456789101315[[#This Row],[Nº Hombres]]*100/$G$2</f>
        <v>13.598041881968996</v>
      </c>
      <c r="I11" s="44">
        <f>Tabla13456789101315[[#This Row],[Nº Mujeres]]+Tabla13456789101315[[#This Row],[Nº Hombres]]</f>
        <v>936</v>
      </c>
    </row>
    <row r="12" spans="1:9" ht="36" customHeight="1" x14ac:dyDescent="0.25">
      <c r="A12" s="11">
        <v>2018</v>
      </c>
      <c r="B12" s="11" t="s">
        <v>60</v>
      </c>
      <c r="C12" s="23" t="s">
        <v>39</v>
      </c>
      <c r="D12" s="11" t="s">
        <v>17</v>
      </c>
      <c r="E12" s="37">
        <v>400</v>
      </c>
      <c r="F12" s="43">
        <f>Tabla13456789101315[[#This Row],[Nº Mujeres]]*100/$E$2</f>
        <v>12.957563977972141</v>
      </c>
      <c r="G12" s="37">
        <v>509</v>
      </c>
      <c r="H12" s="20">
        <f>Tabla13456789101315[[#This Row],[Nº Hombres]]*100/$G$2</f>
        <v>13.842806635844438</v>
      </c>
      <c r="I12" s="44">
        <f>Tabla13456789101315[[#This Row],[Nº Mujeres]]+Tabla13456789101315[[#This Row],[Nº Hombres]]</f>
        <v>909</v>
      </c>
    </row>
    <row r="13" spans="1:9" ht="36" customHeight="1" x14ac:dyDescent="0.25">
      <c r="A13" s="11">
        <v>2018</v>
      </c>
      <c r="B13" s="11" t="s">
        <v>60</v>
      </c>
      <c r="C13" s="23" t="s">
        <v>39</v>
      </c>
      <c r="D13" s="11" t="s">
        <v>18</v>
      </c>
      <c r="E13" s="37">
        <v>351</v>
      </c>
      <c r="F13" s="43">
        <f>Tabla13456789101315[[#This Row],[Nº Mujeres]]*100/$E$2</f>
        <v>11.370262390670554</v>
      </c>
      <c r="G13" s="37">
        <v>441</v>
      </c>
      <c r="H13" s="20">
        <f>Tabla13456789101315[[#This Row],[Nº Hombres]]*100/$G$2</f>
        <v>11.993472939896655</v>
      </c>
      <c r="I13" s="44">
        <f>Tabla13456789101315[[#This Row],[Nº Mujeres]]+Tabla13456789101315[[#This Row],[Nº Hombres]]</f>
        <v>792</v>
      </c>
    </row>
    <row r="14" spans="1:9" ht="36" customHeight="1" x14ac:dyDescent="0.25">
      <c r="A14" s="11">
        <v>2018</v>
      </c>
      <c r="B14" s="11" t="s">
        <v>60</v>
      </c>
      <c r="C14" s="23" t="s">
        <v>39</v>
      </c>
      <c r="D14" s="11" t="s">
        <v>19</v>
      </c>
      <c r="E14" s="37">
        <v>363</v>
      </c>
      <c r="F14" s="43">
        <f>Tabla13456789101315[[#This Row],[Nº Mujeres]]*100/$E$2</f>
        <v>11.758989310009719</v>
      </c>
      <c r="G14" s="37">
        <v>404</v>
      </c>
      <c r="H14" s="20">
        <f>Tabla13456789101315[[#This Row],[Nº Hombres]]*100/$G$2</f>
        <v>10.987217840630949</v>
      </c>
      <c r="I14" s="44">
        <f>Tabla13456789101315[[#This Row],[Nº Mujeres]]+Tabla13456789101315[[#This Row],[Nº Hombres]]</f>
        <v>767</v>
      </c>
    </row>
    <row r="15" spans="1:9" ht="36" customHeight="1" x14ac:dyDescent="0.25">
      <c r="A15" s="11">
        <v>2018</v>
      </c>
      <c r="B15" s="11" t="s">
        <v>60</v>
      </c>
      <c r="C15" s="23" t="s">
        <v>39</v>
      </c>
      <c r="D15" s="11" t="s">
        <v>20</v>
      </c>
      <c r="E15" s="37">
        <v>281</v>
      </c>
      <c r="F15" s="43">
        <f>Tabla13456789101315[[#This Row],[Nº Mujeres]]*100/$E$2</f>
        <v>9.1026886945254297</v>
      </c>
      <c r="G15" s="37">
        <v>390</v>
      </c>
      <c r="H15" s="20">
        <f>Tabla13456789101315[[#This Row],[Nº Hombres]]*100/$G$2</f>
        <v>10.606472667935817</v>
      </c>
      <c r="I15" s="44">
        <f>Tabla13456789101315[[#This Row],[Nº Mujeres]]+Tabla13456789101315[[#This Row],[Nº Hombres]]</f>
        <v>671</v>
      </c>
    </row>
    <row r="16" spans="1:9" ht="36" customHeight="1" x14ac:dyDescent="0.25">
      <c r="A16" s="11">
        <v>2018</v>
      </c>
      <c r="B16" s="11" t="s">
        <v>60</v>
      </c>
      <c r="C16" s="23" t="s">
        <v>39</v>
      </c>
      <c r="D16" s="11" t="s">
        <v>21</v>
      </c>
      <c r="E16" s="37">
        <v>231</v>
      </c>
      <c r="F16" s="43">
        <f>Tabla13456789101315[[#This Row],[Nº Mujeres]]*100/$E$2</f>
        <v>7.4829931972789119</v>
      </c>
      <c r="G16" s="37">
        <v>278</v>
      </c>
      <c r="H16" s="20">
        <f>Tabla13456789101315[[#This Row],[Nº Hombres]]*100/$G$2</f>
        <v>7.5605112863747621</v>
      </c>
      <c r="I16" s="44">
        <f>Tabla13456789101315[[#This Row],[Nº Mujeres]]+Tabla13456789101315[[#This Row],[Nº Hombres]]</f>
        <v>509</v>
      </c>
    </row>
    <row r="17" spans="1:9" ht="36" customHeight="1" x14ac:dyDescent="0.25">
      <c r="A17" s="11">
        <v>2018</v>
      </c>
      <c r="B17" s="11" t="s">
        <v>60</v>
      </c>
      <c r="C17" s="23" t="s">
        <v>39</v>
      </c>
      <c r="D17" s="11" t="s">
        <v>22</v>
      </c>
      <c r="E17" s="37">
        <v>300</v>
      </c>
      <c r="F17" s="43">
        <f>Tabla13456789101315[[#This Row],[Nº Mujeres]]*100/$E$2</f>
        <v>9.7181729834791053</v>
      </c>
      <c r="G17" s="37">
        <v>323</v>
      </c>
      <c r="H17" s="20">
        <f>Tabla13456789101315[[#This Row],[Nº Hombres]]*100/$G$2</f>
        <v>8.7843350557519724</v>
      </c>
      <c r="I17" s="44">
        <f>Tabla13456789101315[[#This Row],[Nº Mujeres]]+Tabla13456789101315[[#This Row],[Nº Hombres]]</f>
        <v>623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NACIONAL </vt:lpstr>
      <vt:lpstr>ARICA Y PARINACOTA</vt:lpstr>
      <vt:lpstr>TARAPACA</vt:lpstr>
      <vt:lpstr>ANTOFAGASTA</vt:lpstr>
      <vt:lpstr>ATACAMA</vt:lpstr>
      <vt:lpstr>COQUIMBO</vt:lpstr>
      <vt:lpstr>VALPARAISO</vt:lpstr>
      <vt:lpstr> O'HIGGINS</vt:lpstr>
      <vt:lpstr>MAULE</vt:lpstr>
      <vt:lpstr>BIOBIO</vt:lpstr>
      <vt:lpstr>DE ÑUBLE</vt:lpstr>
      <vt:lpstr>ARAUCANIA</vt:lpstr>
      <vt:lpstr>LOS RIOS</vt:lpstr>
      <vt:lpstr>LOS LAGOS</vt:lpstr>
      <vt:lpstr>AISEN DEL GRAL. CARLOS IBAÑEZ</vt:lpstr>
      <vt:lpstr>MAGALLANES Y ANTARTICA CH.</vt:lpstr>
      <vt:lpstr>METROPOLITANA</vt:lpstr>
      <vt:lpstr>SIN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PDC</dc:creator>
  <cp:lastModifiedBy>PDC_11</cp:lastModifiedBy>
  <dcterms:created xsi:type="dcterms:W3CDTF">2018-01-30T19:58:54Z</dcterms:created>
  <dcterms:modified xsi:type="dcterms:W3CDTF">2018-10-24T19:07:01Z</dcterms:modified>
</cp:coreProperties>
</file>